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90" windowWidth="15480" windowHeight="10230" activeTab="1"/>
  </bookViews>
  <sheets>
    <sheet name="Компания" sheetId="2" r:id="rId1"/>
    <sheet name="Проект" sheetId="1" r:id="rId2"/>
    <sheet name="Сумм" sheetId="3" r:id="rId3"/>
    <sheet name="Анализ" sheetId="4" r:id="rId4"/>
    <sheet name="Отчет" sheetId="5" r:id="rId5"/>
    <sheet name="Опции" sheetId="6" state="veryHidden" r:id="rId6"/>
    <sheet name="Язык" sheetId="7" state="hidden" r:id="rId7"/>
  </sheets>
  <definedNames>
    <definedName name="About_AI">#REF!</definedName>
    <definedName name="About_AI_Summ">#REF!</definedName>
    <definedName name="AI_Version">Опции!$B$5</definedName>
    <definedName name="asset_count_1">Проект!$E$388</definedName>
    <definedName name="asset_count_2">Проект!$E$409</definedName>
    <definedName name="asset_count_3">Проект!$E$432</definedName>
    <definedName name="BusinessValue" localSheetId="1">Проект!$B$1203</definedName>
    <definedName name="BusinessValue" localSheetId="2">Сумм!$B$540</definedName>
    <definedName name="CalcMethod">Проект!$F$88</definedName>
    <definedName name="Cash_At_End">Проект!$A$887:$M$887</definedName>
    <definedName name="Chart_1" localSheetId="1">Проект!$A$774:$H$797</definedName>
    <definedName name="Chart_1" localSheetId="2">Сумм!$A$96:$H$119</definedName>
    <definedName name="Chart_2" localSheetId="1">Проект!$A$799:$H$822</definedName>
    <definedName name="Chart_2" localSheetId="2">Сумм!$A$121:$H$144</definedName>
    <definedName name="Chart_3" localSheetId="1">Проект!$A$889:$H$912</definedName>
    <definedName name="Chart_3" localSheetId="2">Сумм!$A$199:$H$222</definedName>
    <definedName name="Chart_4" localSheetId="1">Проект!$A$914:$H$937</definedName>
    <definedName name="Chart_4" localSheetId="2">Сумм!$A$224:$H$247</definedName>
    <definedName name="Chart_5" localSheetId="1">Проект!$A$981:$H$1004</definedName>
    <definedName name="Chart_5" localSheetId="2">Сумм!$A$320:$H$343</definedName>
    <definedName name="Chart_6" localSheetId="1">Проект!$A$1036:$H$1059</definedName>
    <definedName name="Chart_6" localSheetId="2">Сумм!$A$375:$H$398</definedName>
    <definedName name="Chart_7" localSheetId="1">Проект!$A$1061:$H$1084</definedName>
    <definedName name="Chart_7" localSheetId="2">Сумм!$A$400:$H$423</definedName>
    <definedName name="Chart_8" localSheetId="1">Проект!$A$1086:$H$1109</definedName>
    <definedName name="Chart_8" localSheetId="2">Сумм!$A$425:$H$448</definedName>
    <definedName name="Chart_9" localSheetId="1">Проект!$A$1155:$H$1178</definedName>
    <definedName name="Chart_9" localSheetId="2">Сумм!$A$492:$H$515</definedName>
    <definedName name="COMP_LAST_COLUMN">Компания!$K:$K</definedName>
    <definedName name="CUR_Foreign">Проект!$B$12</definedName>
    <definedName name="CUR_I_Foreign">Проект!$D$12</definedName>
    <definedName name="CUR_I_Main">Проект!$D$11</definedName>
    <definedName name="CUR_I_Report">Проект!$D$19</definedName>
    <definedName name="CUR_Main">Проект!$B$11</definedName>
    <definedName name="CUR_Report">Проект!$B$19</definedName>
    <definedName name="CurrencyRate">Проект!$F$98:$K$98</definedName>
    <definedName name="EST_BALANCE">Проект!$32:$85</definedName>
    <definedName name="EST_DATA">Проект!#REF!</definedName>
    <definedName name="EST_FROM">Проект!#REF!</definedName>
    <definedName name="EST_NumStages">Проект!#REF!</definedName>
    <definedName name="EST_Obj_1">Проект!#REF!</definedName>
    <definedName name="EST_Obj_10">Проект!#REF!</definedName>
    <definedName name="EST_Obj_2">Проект!#REF!</definedName>
    <definedName name="EST_Obj_3">Проект!#REF!</definedName>
    <definedName name="EST_Obj_4">Проект!#REF!</definedName>
    <definedName name="EST_Obj_5">Проект!#REF!</definedName>
    <definedName name="EST_Obj_6">Проект!#REF!</definedName>
    <definedName name="EST_Obj_7">Проект!#REF!</definedName>
    <definedName name="EST_Obj_8">Проект!#REF!</definedName>
    <definedName name="EST_Obj_9">Проект!#REF!</definedName>
    <definedName name="EST_ProdNum">Проект!#REF!</definedName>
    <definedName name="gexp_count_1">Проект!$E$329</definedName>
    <definedName name="gexp_count_2">Проект!$E$339</definedName>
    <definedName name="gexp_count_3">Проект!$E$347</definedName>
    <definedName name="gexp_count_4">Проект!$E$355</definedName>
    <definedName name="IRR" localSheetId="1">Проект!$B$1145</definedName>
    <definedName name="IRR" localSheetId="2">Сумм!$B$482</definedName>
    <definedName name="IS_DEMO">Опции!$B$8</definedName>
    <definedName name="IS_ESTATE">Опции!$B$13</definedName>
    <definedName name="IS_NULL">Опции!$B$12</definedName>
    <definedName name="IS_PRIM">Опции!$B$11</definedName>
    <definedName name="IS_SUMM">Опции!$B$10</definedName>
    <definedName name="LANGUAGE">Проект!$D$17</definedName>
    <definedName name="LAST_COLUMN">Проект!$K:$K</definedName>
    <definedName name="lease_count">Проект!$E$499</definedName>
    <definedName name="ListForSensAnal">Анализ!$A$91:$B$98</definedName>
    <definedName name="loan_count">Проект!$E$611</definedName>
    <definedName name="MinMoney" localSheetId="1">Проект!$B$667</definedName>
    <definedName name="NPV" localSheetId="1">Проект!$B$1142</definedName>
    <definedName name="NPV" localSheetId="2">Сумм!$B$479</definedName>
    <definedName name="NPVR" localSheetId="1">Проект!$B$1147</definedName>
    <definedName name="NPVR" localSheetId="2">Сумм!$B$484</definedName>
    <definedName name="NWC_T_Cr_AdvK">Проект!$B$561</definedName>
    <definedName name="NWC_T_Cr_AdvT">Проект!$C$561</definedName>
    <definedName name="NWC_T_Cr_CrdK">Проект!$B$562</definedName>
    <definedName name="NWC_T_Cr_CrdT">Проект!$C$562</definedName>
    <definedName name="NWC_T_Cycle">Проект!$B$540</definedName>
    <definedName name="NWC_T_Db_AdvK">Проект!$B$549</definedName>
    <definedName name="NWC_T_Db_AdvT">Проект!$C$549</definedName>
    <definedName name="NWC_T_Db_CrdK">Проект!$B$550</definedName>
    <definedName name="NWC_T_Db_CrdT">Проект!$C$550</definedName>
    <definedName name="NWC_T_Goods">Проект!$B$544</definedName>
    <definedName name="NWC_T_Mat">Проект!$B$538</definedName>
    <definedName name="PBP" localSheetId="1">Проект!$B$1143</definedName>
    <definedName name="PBP" localSheetId="2">Сумм!$B$480</definedName>
    <definedName name="PeriodTitle">Проект!$F$86:$K$86</definedName>
    <definedName name="pers_count_1">Проект!$E$282</definedName>
    <definedName name="pers_count_2">Проект!$E$288</definedName>
    <definedName name="pers_count_3">Проект!$E$294</definedName>
    <definedName name="pers_count_4">Проект!$E$300</definedName>
    <definedName name="PRJ_COUNT">Компания!$D$8</definedName>
    <definedName name="PRJ_Len">Проект!$D$8</definedName>
    <definedName name="PRJ_Name" localSheetId="1">Проект!$A$5</definedName>
    <definedName name="PRJ_Protected">Проект!$D$18</definedName>
    <definedName name="PRJ_StartDate">Проект!$D$7</definedName>
    <definedName name="PRJ_StartMon">Проект!$F$26</definedName>
    <definedName name="PRJ_StartYear">Проект!$F$25</definedName>
    <definedName name="PRJ_Step">Проект!$D$10</definedName>
    <definedName name="PRJ_Step_SName">Проект!$E$9</definedName>
    <definedName name="PRJ_StepType">Проект!$D$9</definedName>
    <definedName name="prod_tbl_1">Проект!$A$115</definedName>
    <definedName name="prod_tbl_2">Проект!$A$123</definedName>
    <definedName name="prod_tbl_3">Проект!$A$130</definedName>
    <definedName name="prod_tbl_4">Проект!$A$145</definedName>
    <definedName name="prod_tbl_5">Проект!$A$189</definedName>
    <definedName name="prod_tbl_6">Проект!$A$196</definedName>
    <definedName name="prod_tbl_7">Проект!$A$203</definedName>
    <definedName name="ProdNum">Проект!$D$113</definedName>
    <definedName name="ProfitTax">Проект!$B$734</definedName>
    <definedName name="ProfitTax_Period">Проект!$B$735</definedName>
    <definedName name="RegNum">Опции!$B$16</definedName>
    <definedName name="SENS_Assets" localSheetId="1">Проект!$F$461:$K$495</definedName>
    <definedName name="SENS_Discount" localSheetId="1">Проект!$B$1118</definedName>
    <definedName name="SENS_GenExp" localSheetId="1">Проект!$G$375:$K$383</definedName>
    <definedName name="SENS_Materials" localSheetId="1">Проект!$F$189:$K$191</definedName>
    <definedName name="SENS_Parameter">Анализ!$E$9</definedName>
    <definedName name="SENS_Prices" localSheetId="1">Проект!$F$130:$K$140</definedName>
    <definedName name="SENS_Project">Анализ!$E$7</definedName>
    <definedName name="SENS_Res1">Анализ!$A$13:$L$20</definedName>
    <definedName name="SENS_Res2">Анализ!$A$52:$L$57</definedName>
    <definedName name="SENS_Volume" localSheetId="1">Проект!$G$123:$K$125</definedName>
    <definedName name="SensForSumm">Анализ!$A$49:$L$85</definedName>
    <definedName name="ShowAbout">Опции!$B$9</definedName>
    <definedName name="ShowRealDates">Проект!$D$20</definedName>
    <definedName name="SUMM_LAST_COLUMN">Сумм!$K:$K</definedName>
    <definedName name="SUMM_PrjList">Сумм!$A$6</definedName>
    <definedName name="Table_1" localSheetId="0">Компания!$A$14:$M$79</definedName>
    <definedName name="Table_1" localSheetId="1">Проект!$A$86:$M$110</definedName>
    <definedName name="Table_1" localSheetId="2">Сумм!$A$11:$M$44</definedName>
    <definedName name="Table_10" localSheetId="1">Проект!$A$322:$M$383</definedName>
    <definedName name="Table_11" localSheetId="1">Проект!$A$386:$M$495</definedName>
    <definedName name="Table_12" localSheetId="1">Проект!$A$498:$M$529</definedName>
    <definedName name="Table_13" localSheetId="1">Проект!$A$532:$M$591</definedName>
    <definedName name="Table_14" localSheetId="1">Проект!$A$594:$M$607</definedName>
    <definedName name="Table_15" localSheetId="1">Проект!$A$610:$M$640</definedName>
    <definedName name="Table_16" localSheetId="1">Проект!$A$643:$M$667</definedName>
    <definedName name="Table_17" localSheetId="1">Проект!$A$670:$M$745</definedName>
    <definedName name="Table_18" localSheetId="1">Проект!$A$748:$M$772</definedName>
    <definedName name="Table_19" localSheetId="1">Проект!$A$825:$M$853</definedName>
    <definedName name="Table_2" localSheetId="0">Компания!$A$82:$M$103</definedName>
    <definedName name="Table_2" localSheetId="1">Проект!$A$113:$M$118</definedName>
    <definedName name="Table_2" localSheetId="2">Сумм!$A$47:$M$94</definedName>
    <definedName name="Table_20" localSheetId="1">Проект!$A$856:$M$887</definedName>
    <definedName name="Table_21" localSheetId="1">Проект!$A$940:$M$978</definedName>
    <definedName name="Table_22" localSheetId="1">Проект!$A$1007:$M$1034</definedName>
    <definedName name="Table_23" localSheetId="1">Проект!$A$1112:$M$1153</definedName>
    <definedName name="Table_24" localSheetId="1">Проект!$A$1181:$M$1203</definedName>
    <definedName name="Table_25" localSheetId="1">Проект!$A$1206:$M$1252</definedName>
    <definedName name="Table_26" localSheetId="1">Проект!$A$1255:$M$1281</definedName>
    <definedName name="Table_3" localSheetId="0">Компания!$A$106:$M$131</definedName>
    <definedName name="Table_3" localSheetId="1">Проект!$A$121:$M$125</definedName>
    <definedName name="Table_3" localSheetId="2">Сумм!$A$147:$M$197</definedName>
    <definedName name="Table_4" localSheetId="0">Компания!$A$134:$M$153</definedName>
    <definedName name="Table_4" localSheetId="1">Проект!$A$128:$M$140</definedName>
    <definedName name="Table_4" localSheetId="2">Сумм!$A$250:$M$317</definedName>
    <definedName name="Table_5" localSheetId="0">Компания!$A$156:$M$176</definedName>
    <definedName name="Table_5" localSheetId="1">Проект!$A$143:$M$184</definedName>
    <definedName name="Table_5" localSheetId="2">Сумм!$A$346:$M$373</definedName>
    <definedName name="Table_6" localSheetId="0">Компания!$A$179:$M$201</definedName>
    <definedName name="Table_6" localSheetId="1">Проект!$A$187:$M$191</definedName>
    <definedName name="Table_6" localSheetId="2">Сумм!$A$451:$M$490</definedName>
    <definedName name="Table_7" localSheetId="0">Компания!$A$204:$M$225</definedName>
    <definedName name="Table_7" localSheetId="1">Проект!$A$194:$M$198</definedName>
    <definedName name="Table_7" localSheetId="2">Сумм!$A$518:$M$540</definedName>
    <definedName name="Table_8" localSheetId="0">Компания!$A$228:$M$259</definedName>
    <definedName name="Table_8" localSheetId="1">Проект!$A$201:$M$274</definedName>
    <definedName name="Table_8" localSheetId="2">Сумм!$A$543:$M$568</definedName>
    <definedName name="Table_9" localSheetId="0">Компания!$A$262:$M$301</definedName>
    <definedName name="Table_9" localSheetId="1">Проект!$A$277:$M$319</definedName>
    <definedName name="TotalInvestments" localSheetId="1">Проект!$M$645</definedName>
    <definedName name="TotalProfit" localSheetId="1">Проект!$M$769</definedName>
    <definedName name="TotalProfit" localSheetId="2">Сумм!$M$87</definedName>
    <definedName name="UserName">Опции!$B$17</definedName>
    <definedName name="VAT">Проект!$B$678</definedName>
    <definedName name="VAT_OnAssets">Проект!$B$681</definedName>
    <definedName name="VAT_Period">Проект!$B$679</definedName>
    <definedName name="VAT_Repay">Проект!$B$680</definedName>
    <definedName name="Ver_BuildDate">Опции!$B$7</definedName>
    <definedName name="Ver_ChangeDate">Опции!$B$6</definedName>
  </definedNames>
  <calcPr calcId="124519"/>
</workbook>
</file>

<file path=xl/calcChain.xml><?xml version="1.0" encoding="utf-8"?>
<calcChain xmlns="http://schemas.openxmlformats.org/spreadsheetml/2006/main">
  <c r="K301" i="3"/>
  <c r="K269"/>
  <c r="K38"/>
  <c r="K37"/>
  <c r="K297" i="2"/>
  <c r="K290"/>
  <c r="K300" i="3" s="1"/>
  <c r="K252" i="2"/>
  <c r="K251"/>
  <c r="K249"/>
  <c r="K245"/>
  <c r="K200"/>
  <c r="K174"/>
  <c r="K158"/>
  <c r="K278" s="1"/>
  <c r="K1236" i="1"/>
  <c r="K1231"/>
  <c r="K878"/>
  <c r="K184" i="3" s="1"/>
  <c r="K183" s="1"/>
  <c r="K865" i="1"/>
  <c r="K164" i="3" s="1"/>
  <c r="K163" s="1"/>
  <c r="K695" i="1"/>
  <c r="K29" i="3" s="1"/>
  <c r="K28" s="1"/>
  <c r="K655" i="1"/>
  <c r="K596"/>
  <c r="K877" s="1"/>
  <c r="K429"/>
  <c r="K416"/>
  <c r="K406"/>
  <c r="D627"/>
  <c r="D626"/>
  <c r="D625"/>
  <c r="D624"/>
  <c r="D623"/>
  <c r="D622"/>
  <c r="D621"/>
  <c r="D620"/>
  <c r="D619"/>
  <c r="D618"/>
  <c r="D10"/>
  <c r="G98"/>
  <c r="G97"/>
  <c r="H98"/>
  <c r="H97"/>
  <c r="I98"/>
  <c r="I97"/>
  <c r="J98"/>
  <c r="J97"/>
  <c r="K97" s="1"/>
  <c r="G27"/>
  <c r="H27"/>
  <c r="I27"/>
  <c r="J27"/>
  <c r="K27" s="1"/>
  <c r="F622"/>
  <c r="G622"/>
  <c r="H622"/>
  <c r="I622"/>
  <c r="J622"/>
  <c r="K622" s="1"/>
  <c r="F621"/>
  <c r="G621"/>
  <c r="H621"/>
  <c r="I621"/>
  <c r="J621"/>
  <c r="G615"/>
  <c r="H615"/>
  <c r="I615"/>
  <c r="J615"/>
  <c r="K615" s="1"/>
  <c r="G626"/>
  <c r="H626"/>
  <c r="I626"/>
  <c r="J626"/>
  <c r="K626" s="1"/>
  <c r="M626"/>
  <c r="G624"/>
  <c r="H624"/>
  <c r="I624"/>
  <c r="J624"/>
  <c r="G627"/>
  <c r="G620"/>
  <c r="G625"/>
  <c r="H627"/>
  <c r="H620"/>
  <c r="H625"/>
  <c r="I627"/>
  <c r="I620"/>
  <c r="I625"/>
  <c r="J627"/>
  <c r="J620"/>
  <c r="J625"/>
  <c r="F197" i="2"/>
  <c r="G197"/>
  <c r="H197"/>
  <c r="I197"/>
  <c r="J197"/>
  <c r="F191"/>
  <c r="G191"/>
  <c r="H191"/>
  <c r="I191"/>
  <c r="J191"/>
  <c r="D170" i="1"/>
  <c r="D169"/>
  <c r="D168"/>
  <c r="D167"/>
  <c r="D166"/>
  <c r="D165"/>
  <c r="D164"/>
  <c r="D163"/>
  <c r="D162"/>
  <c r="D160"/>
  <c r="D159"/>
  <c r="D158"/>
  <c r="D157"/>
  <c r="D156"/>
  <c r="D155"/>
  <c r="D154"/>
  <c r="D153"/>
  <c r="D152"/>
  <c r="D151"/>
  <c r="D150"/>
  <c r="D149"/>
  <c r="D147"/>
  <c r="D146"/>
  <c r="D145"/>
  <c r="J115"/>
  <c r="K115" s="1"/>
  <c r="K123" s="1"/>
  <c r="G91"/>
  <c r="G92"/>
  <c r="H94"/>
  <c r="H135" s="1"/>
  <c r="H91"/>
  <c r="H92"/>
  <c r="I94"/>
  <c r="I91"/>
  <c r="I92"/>
  <c r="J94"/>
  <c r="J91"/>
  <c r="K91" s="1"/>
  <c r="K92" s="1"/>
  <c r="J92"/>
  <c r="K94" s="1"/>
  <c r="B134"/>
  <c r="G131" s="1"/>
  <c r="B150"/>
  <c r="B151"/>
  <c r="B149"/>
  <c r="C150"/>
  <c r="E150"/>
  <c r="C151"/>
  <c r="E151"/>
  <c r="J116"/>
  <c r="K116" s="1"/>
  <c r="K124" s="1"/>
  <c r="B139"/>
  <c r="G136" s="1"/>
  <c r="B163"/>
  <c r="B164"/>
  <c r="B162"/>
  <c r="C163"/>
  <c r="E163"/>
  <c r="C164"/>
  <c r="E164"/>
  <c r="G29"/>
  <c r="G82" i="2"/>
  <c r="F82"/>
  <c r="H85"/>
  <c r="F114"/>
  <c r="G112"/>
  <c r="G101" i="1"/>
  <c r="G102"/>
  <c r="G111" i="2"/>
  <c r="G114"/>
  <c r="H110"/>
  <c r="H112"/>
  <c r="H101" i="1"/>
  <c r="H102"/>
  <c r="H111" i="2"/>
  <c r="H114"/>
  <c r="I110"/>
  <c r="I112"/>
  <c r="I101" i="1"/>
  <c r="I102"/>
  <c r="I111" i="2"/>
  <c r="I114"/>
  <c r="J110"/>
  <c r="K110" s="1"/>
  <c r="J112"/>
  <c r="K112" s="1"/>
  <c r="J101" i="1"/>
  <c r="K101" s="1"/>
  <c r="K102" s="1"/>
  <c r="J102"/>
  <c r="K104" s="1"/>
  <c r="J111" i="2"/>
  <c r="J114"/>
  <c r="B115"/>
  <c r="D252" i="1"/>
  <c r="D251"/>
  <c r="D250"/>
  <c r="D249"/>
  <c r="D248"/>
  <c r="D247"/>
  <c r="D246"/>
  <c r="D245"/>
  <c r="D244"/>
  <c r="D242"/>
  <c r="D241"/>
  <c r="D239"/>
  <c r="D238"/>
  <c r="D237"/>
  <c r="D236"/>
  <c r="D235"/>
  <c r="D234"/>
  <c r="D233"/>
  <c r="D232"/>
  <c r="D228"/>
  <c r="D227"/>
  <c r="D226"/>
  <c r="D225"/>
  <c r="D224"/>
  <c r="D223"/>
  <c r="D222"/>
  <c r="D221"/>
  <c r="D220"/>
  <c r="D219"/>
  <c r="D217"/>
  <c r="D216"/>
  <c r="D214"/>
  <c r="D213"/>
  <c r="D212"/>
  <c r="D211"/>
  <c r="D210"/>
  <c r="D209"/>
  <c r="D208"/>
  <c r="D207"/>
  <c r="D203"/>
  <c r="H189"/>
  <c r="I189"/>
  <c r="J189"/>
  <c r="K189" s="1"/>
  <c r="B223"/>
  <c r="B544"/>
  <c r="B204"/>
  <c r="G123"/>
  <c r="G204"/>
  <c r="G206"/>
  <c r="G205"/>
  <c r="H123"/>
  <c r="H204"/>
  <c r="H206"/>
  <c r="H205"/>
  <c r="I123"/>
  <c r="I204"/>
  <c r="I206"/>
  <c r="I205"/>
  <c r="J123"/>
  <c r="J204"/>
  <c r="J206"/>
  <c r="J205"/>
  <c r="B213"/>
  <c r="J211"/>
  <c r="J213"/>
  <c r="B538"/>
  <c r="B215"/>
  <c r="G211"/>
  <c r="G213"/>
  <c r="G214"/>
  <c r="G215"/>
  <c r="G217"/>
  <c r="G216"/>
  <c r="H211"/>
  <c r="H213"/>
  <c r="H214"/>
  <c r="H215"/>
  <c r="H217"/>
  <c r="H216"/>
  <c r="I211"/>
  <c r="I213"/>
  <c r="I214"/>
  <c r="I215"/>
  <c r="I217"/>
  <c r="I216"/>
  <c r="J214"/>
  <c r="J215"/>
  <c r="J217"/>
  <c r="J216"/>
  <c r="B220"/>
  <c r="B221"/>
  <c r="B219"/>
  <c r="C220"/>
  <c r="E220"/>
  <c r="C221"/>
  <c r="E221"/>
  <c r="H190"/>
  <c r="I190"/>
  <c r="J190"/>
  <c r="K190" s="1"/>
  <c r="B248"/>
  <c r="B229"/>
  <c r="G124"/>
  <c r="G229"/>
  <c r="G231"/>
  <c r="G230"/>
  <c r="H124"/>
  <c r="H229"/>
  <c r="H231"/>
  <c r="H230"/>
  <c r="I124"/>
  <c r="I229"/>
  <c r="I231"/>
  <c r="I230"/>
  <c r="J124"/>
  <c r="J229"/>
  <c r="J231"/>
  <c r="J230"/>
  <c r="B238"/>
  <c r="J236"/>
  <c r="J238"/>
  <c r="B240"/>
  <c r="G236"/>
  <c r="G238"/>
  <c r="G239"/>
  <c r="G240"/>
  <c r="G242"/>
  <c r="G241"/>
  <c r="H236"/>
  <c r="H238"/>
  <c r="H239"/>
  <c r="H240"/>
  <c r="H242"/>
  <c r="H241"/>
  <c r="I236"/>
  <c r="I238"/>
  <c r="I239"/>
  <c r="I240"/>
  <c r="I242"/>
  <c r="I241"/>
  <c r="J239"/>
  <c r="J240"/>
  <c r="J242"/>
  <c r="J241"/>
  <c r="B245"/>
  <c r="B246"/>
  <c r="B244"/>
  <c r="C245"/>
  <c r="E245"/>
  <c r="C246"/>
  <c r="E246"/>
  <c r="H86" i="2"/>
  <c r="H88"/>
  <c r="H89"/>
  <c r="F121"/>
  <c r="F123"/>
  <c r="G118"/>
  <c r="G123"/>
  <c r="H117"/>
  <c r="H119"/>
  <c r="H118"/>
  <c r="H123"/>
  <c r="I117"/>
  <c r="I119"/>
  <c r="I118"/>
  <c r="I123"/>
  <c r="J117"/>
  <c r="K117" s="1"/>
  <c r="J119"/>
  <c r="K119" s="1"/>
  <c r="J118"/>
  <c r="J123"/>
  <c r="B131"/>
  <c r="F92" i="1"/>
  <c r="G94"/>
  <c r="G196"/>
  <c r="H196"/>
  <c r="I196"/>
  <c r="J196"/>
  <c r="K196" s="1"/>
  <c r="G197"/>
  <c r="H197"/>
  <c r="I197"/>
  <c r="J197"/>
  <c r="K197" s="1"/>
  <c r="I285"/>
  <c r="J285"/>
  <c r="K285" s="1"/>
  <c r="I290"/>
  <c r="J290"/>
  <c r="K290" s="1"/>
  <c r="I291"/>
  <c r="J291"/>
  <c r="K291" s="1"/>
  <c r="I296"/>
  <c r="J296"/>
  <c r="K296" s="1"/>
  <c r="I297"/>
  <c r="J297"/>
  <c r="K297" s="1"/>
  <c r="G302"/>
  <c r="H302"/>
  <c r="I302"/>
  <c r="J302"/>
  <c r="K302" s="1"/>
  <c r="G303"/>
  <c r="H303"/>
  <c r="I303"/>
  <c r="J303"/>
  <c r="K303" s="1"/>
  <c r="F124" i="2"/>
  <c r="G124"/>
  <c r="H124"/>
  <c r="I124"/>
  <c r="J124"/>
  <c r="D341" i="1"/>
  <c r="D340"/>
  <c r="D331"/>
  <c r="D330"/>
  <c r="H330"/>
  <c r="I330"/>
  <c r="J330"/>
  <c r="K330" s="1"/>
  <c r="I340"/>
  <c r="J340"/>
  <c r="K340" s="1"/>
  <c r="D349"/>
  <c r="D348"/>
  <c r="H348"/>
  <c r="I348"/>
  <c r="J348"/>
  <c r="K348" s="1"/>
  <c r="D357"/>
  <c r="D356"/>
  <c r="H356"/>
  <c r="I356"/>
  <c r="J356"/>
  <c r="F126" i="2"/>
  <c r="G126"/>
  <c r="H126"/>
  <c r="I126"/>
  <c r="J126"/>
  <c r="F129"/>
  <c r="G129"/>
  <c r="H129"/>
  <c r="I129"/>
  <c r="J129"/>
  <c r="F130"/>
  <c r="G130"/>
  <c r="H130"/>
  <c r="I130"/>
  <c r="J130"/>
  <c r="D410" i="1"/>
  <c r="D389"/>
  <c r="B407"/>
  <c r="K407" s="1"/>
  <c r="B430"/>
  <c r="K430" s="1"/>
  <c r="B831"/>
  <c r="K831" s="1"/>
  <c r="K832" s="1"/>
  <c r="B839"/>
  <c r="K839" s="1"/>
  <c r="B331"/>
  <c r="B341"/>
  <c r="B349"/>
  <c r="B510"/>
  <c r="E504"/>
  <c r="F505"/>
  <c r="F504"/>
  <c r="F506"/>
  <c r="G507"/>
  <c r="G505"/>
  <c r="G504"/>
  <c r="G506"/>
  <c r="H507"/>
  <c r="H505"/>
  <c r="H504"/>
  <c r="H506"/>
  <c r="I507"/>
  <c r="I505"/>
  <c r="I504"/>
  <c r="I506"/>
  <c r="J507"/>
  <c r="J505"/>
  <c r="B518"/>
  <c r="B402"/>
  <c r="K390" s="1"/>
  <c r="K402" s="1"/>
  <c r="F390"/>
  <c r="F394"/>
  <c r="G390"/>
  <c r="G394"/>
  <c r="H390"/>
  <c r="H394"/>
  <c r="I390"/>
  <c r="I394"/>
  <c r="J390"/>
  <c r="J394"/>
  <c r="K394" s="1"/>
  <c r="B425"/>
  <c r="K411" s="1"/>
  <c r="K425" s="1"/>
  <c r="F411"/>
  <c r="F417"/>
  <c r="G411"/>
  <c r="G417"/>
  <c r="H411"/>
  <c r="H417"/>
  <c r="I411"/>
  <c r="I417"/>
  <c r="J411"/>
  <c r="J417"/>
  <c r="K417" s="1"/>
  <c r="D433"/>
  <c r="B446"/>
  <c r="K434" s="1"/>
  <c r="K446" s="1"/>
  <c r="F434"/>
  <c r="F438"/>
  <c r="G434"/>
  <c r="G438"/>
  <c r="H434"/>
  <c r="H438"/>
  <c r="I434"/>
  <c r="I438"/>
  <c r="J434"/>
  <c r="J438"/>
  <c r="K438" s="1"/>
  <c r="G701"/>
  <c r="H701"/>
  <c r="I701"/>
  <c r="J701"/>
  <c r="K701" s="1"/>
  <c r="G704"/>
  <c r="H704"/>
  <c r="I704"/>
  <c r="J704"/>
  <c r="K704" s="1"/>
  <c r="G707"/>
  <c r="H707"/>
  <c r="I707"/>
  <c r="J707"/>
  <c r="K707" s="1"/>
  <c r="G708"/>
  <c r="H708"/>
  <c r="I708"/>
  <c r="J708"/>
  <c r="K708" s="1"/>
  <c r="G712"/>
  <c r="H712"/>
  <c r="I712"/>
  <c r="J712"/>
  <c r="K712" s="1"/>
  <c r="G716"/>
  <c r="H716"/>
  <c r="I716"/>
  <c r="J716"/>
  <c r="K716" s="1"/>
  <c r="K714" s="1"/>
  <c r="G399"/>
  <c r="G422"/>
  <c r="F461"/>
  <c r="G461"/>
  <c r="H461"/>
  <c r="I461"/>
  <c r="J461"/>
  <c r="F473"/>
  <c r="G473"/>
  <c r="H473"/>
  <c r="I473"/>
  <c r="J473"/>
  <c r="G633"/>
  <c r="G634"/>
  <c r="G454"/>
  <c r="F514"/>
  <c r="G514"/>
  <c r="H514"/>
  <c r="I514"/>
  <c r="J504"/>
  <c r="J506"/>
  <c r="J514"/>
  <c r="J516"/>
  <c r="J528"/>
  <c r="G724"/>
  <c r="H724"/>
  <c r="I724"/>
  <c r="J724"/>
  <c r="K724" s="1"/>
  <c r="G729"/>
  <c r="H729"/>
  <c r="I729"/>
  <c r="J729"/>
  <c r="K729" s="1"/>
  <c r="K726" s="1"/>
  <c r="H29"/>
  <c r="I29"/>
  <c r="J29"/>
  <c r="K29" s="1"/>
  <c r="G443"/>
  <c r="F150"/>
  <c r="F151"/>
  <c r="F152"/>
  <c r="F163"/>
  <c r="F164"/>
  <c r="F165"/>
  <c r="F157"/>
  <c r="F170"/>
  <c r="F155"/>
  <c r="F168"/>
  <c r="F220"/>
  <c r="F221"/>
  <c r="F222"/>
  <c r="F245"/>
  <c r="F246"/>
  <c r="F247"/>
  <c r="G219"/>
  <c r="G220"/>
  <c r="G221"/>
  <c r="G222"/>
  <c r="G244"/>
  <c r="G245"/>
  <c r="G246"/>
  <c r="G247"/>
  <c r="H219"/>
  <c r="H220"/>
  <c r="H221"/>
  <c r="H222"/>
  <c r="H244"/>
  <c r="H245"/>
  <c r="H246"/>
  <c r="H247"/>
  <c r="I219"/>
  <c r="I220"/>
  <c r="I221"/>
  <c r="I222"/>
  <c r="I244"/>
  <c r="I245"/>
  <c r="I246"/>
  <c r="I247"/>
  <c r="J219"/>
  <c r="J220"/>
  <c r="J221"/>
  <c r="J222"/>
  <c r="J244"/>
  <c r="J245"/>
  <c r="J246"/>
  <c r="J247"/>
  <c r="F225"/>
  <c r="G225"/>
  <c r="H225"/>
  <c r="I225"/>
  <c r="J225"/>
  <c r="F250"/>
  <c r="G250"/>
  <c r="H250"/>
  <c r="I250"/>
  <c r="J250"/>
  <c r="F227"/>
  <c r="G227"/>
  <c r="H227"/>
  <c r="I227"/>
  <c r="J227"/>
  <c r="F252"/>
  <c r="G252"/>
  <c r="H252"/>
  <c r="I252"/>
  <c r="J252"/>
  <c r="G210"/>
  <c r="G235"/>
  <c r="H210"/>
  <c r="H235"/>
  <c r="I210"/>
  <c r="I235"/>
  <c r="J210"/>
  <c r="J235"/>
  <c r="F212"/>
  <c r="G212"/>
  <c r="H212"/>
  <c r="I212"/>
  <c r="J212"/>
  <c r="F237"/>
  <c r="G237"/>
  <c r="H237"/>
  <c r="I237"/>
  <c r="J237"/>
  <c r="G207"/>
  <c r="G232"/>
  <c r="H207"/>
  <c r="H232"/>
  <c r="I207"/>
  <c r="I232"/>
  <c r="J207"/>
  <c r="J232"/>
  <c r="G208"/>
  <c r="G233"/>
  <c r="H208"/>
  <c r="H233"/>
  <c r="I208"/>
  <c r="I233"/>
  <c r="J208"/>
  <c r="J233"/>
  <c r="G209"/>
  <c r="H209"/>
  <c r="I209"/>
  <c r="J209"/>
  <c r="G234"/>
  <c r="H234"/>
  <c r="I234"/>
  <c r="J234"/>
  <c r="F153"/>
  <c r="F166"/>
  <c r="F223"/>
  <c r="F248"/>
  <c r="F860"/>
  <c r="F861"/>
  <c r="F480"/>
  <c r="F674"/>
  <c r="F472"/>
  <c r="F485"/>
  <c r="F684"/>
  <c r="F685"/>
  <c r="F688"/>
  <c r="F518"/>
  <c r="F638"/>
  <c r="F635"/>
  <c r="F636"/>
  <c r="F637"/>
  <c r="F631"/>
  <c r="F863"/>
  <c r="F864"/>
  <c r="F865"/>
  <c r="F869"/>
  <c r="F474"/>
  <c r="F425"/>
  <c r="F481"/>
  <c r="F522"/>
  <c r="F870"/>
  <c r="F486"/>
  <c r="F871"/>
  <c r="F872"/>
  <c r="F875"/>
  <c r="F596"/>
  <c r="F877"/>
  <c r="F878"/>
  <c r="F629"/>
  <c r="F879"/>
  <c r="F630"/>
  <c r="F880"/>
  <c r="G223"/>
  <c r="G248"/>
  <c r="G118"/>
  <c r="G284"/>
  <c r="G283"/>
  <c r="G307"/>
  <c r="G289"/>
  <c r="G308"/>
  <c r="G295"/>
  <c r="G309"/>
  <c r="G301"/>
  <c r="G310"/>
  <c r="G375"/>
  <c r="G378"/>
  <c r="G416"/>
  <c r="G480"/>
  <c r="G674"/>
  <c r="G407"/>
  <c r="G472"/>
  <c r="G430"/>
  <c r="G485"/>
  <c r="G684"/>
  <c r="G831"/>
  <c r="G832"/>
  <c r="G839"/>
  <c r="G840"/>
  <c r="G685"/>
  <c r="G331"/>
  <c r="G341"/>
  <c r="G377"/>
  <c r="G349"/>
  <c r="G380"/>
  <c r="G357"/>
  <c r="G518"/>
  <c r="G638"/>
  <c r="G635"/>
  <c r="G636"/>
  <c r="G637"/>
  <c r="G314"/>
  <c r="G315"/>
  <c r="G316"/>
  <c r="G706"/>
  <c r="G714"/>
  <c r="G516"/>
  <c r="G528"/>
  <c r="F467"/>
  <c r="F479"/>
  <c r="F516"/>
  <c r="F528"/>
  <c r="G726"/>
  <c r="G376"/>
  <c r="G755"/>
  <c r="G517"/>
  <c r="G529"/>
  <c r="G379"/>
  <c r="G760"/>
  <c r="G406"/>
  <c r="G471"/>
  <c r="G429"/>
  <c r="G484"/>
  <c r="G829"/>
  <c r="G764"/>
  <c r="G837"/>
  <c r="G623"/>
  <c r="G632"/>
  <c r="G738"/>
  <c r="G741"/>
  <c r="G734"/>
  <c r="G631"/>
  <c r="G863"/>
  <c r="G865"/>
  <c r="G869"/>
  <c r="G474"/>
  <c r="G425"/>
  <c r="G481"/>
  <c r="G522"/>
  <c r="G870"/>
  <c r="G486"/>
  <c r="G871"/>
  <c r="E156"/>
  <c r="E169"/>
  <c r="E224"/>
  <c r="G224"/>
  <c r="E249"/>
  <c r="G249"/>
  <c r="E154"/>
  <c r="E167"/>
  <c r="E226"/>
  <c r="G226"/>
  <c r="E251"/>
  <c r="G251"/>
  <c r="G573"/>
  <c r="G335"/>
  <c r="G336"/>
  <c r="G470"/>
  <c r="G483"/>
  <c r="G873"/>
  <c r="G596"/>
  <c r="G877"/>
  <c r="G878"/>
  <c r="G629"/>
  <c r="G879"/>
  <c r="G630"/>
  <c r="G880"/>
  <c r="H223"/>
  <c r="H248"/>
  <c r="H118"/>
  <c r="H283"/>
  <c r="H307"/>
  <c r="H289"/>
  <c r="H308"/>
  <c r="H295"/>
  <c r="H309"/>
  <c r="H301"/>
  <c r="H310"/>
  <c r="H375"/>
  <c r="H378"/>
  <c r="H416"/>
  <c r="H480"/>
  <c r="H674"/>
  <c r="H407"/>
  <c r="H472"/>
  <c r="H430"/>
  <c r="H485"/>
  <c r="H684"/>
  <c r="H831"/>
  <c r="H832"/>
  <c r="H839"/>
  <c r="H840"/>
  <c r="H685"/>
  <c r="H331"/>
  <c r="H341"/>
  <c r="H377"/>
  <c r="H349"/>
  <c r="H380"/>
  <c r="H357"/>
  <c r="H518"/>
  <c r="H638"/>
  <c r="H635"/>
  <c r="H636"/>
  <c r="H637"/>
  <c r="B403"/>
  <c r="F402"/>
  <c r="G402"/>
  <c r="H402"/>
  <c r="I402"/>
  <c r="J402"/>
  <c r="B426"/>
  <c r="H425"/>
  <c r="I425"/>
  <c r="J425"/>
  <c r="B447"/>
  <c r="F446"/>
  <c r="G446"/>
  <c r="H446"/>
  <c r="I446"/>
  <c r="J446"/>
  <c r="H314"/>
  <c r="H315"/>
  <c r="H316"/>
  <c r="H706"/>
  <c r="H714"/>
  <c r="H516"/>
  <c r="H528"/>
  <c r="H726"/>
  <c r="H376"/>
  <c r="H755"/>
  <c r="H517"/>
  <c r="H529"/>
  <c r="H379"/>
  <c r="H760"/>
  <c r="H633"/>
  <c r="H406"/>
  <c r="H471"/>
  <c r="H429"/>
  <c r="H484"/>
  <c r="H829"/>
  <c r="H764"/>
  <c r="H837"/>
  <c r="G106"/>
  <c r="H106"/>
  <c r="H109"/>
  <c r="H623"/>
  <c r="H632"/>
  <c r="H738"/>
  <c r="H734"/>
  <c r="H631"/>
  <c r="H863"/>
  <c r="H865"/>
  <c r="H869"/>
  <c r="H474"/>
  <c r="H481"/>
  <c r="H522"/>
  <c r="H870"/>
  <c r="H486"/>
  <c r="H871"/>
  <c r="H224"/>
  <c r="H249"/>
  <c r="H226"/>
  <c r="H251"/>
  <c r="H573"/>
  <c r="H335"/>
  <c r="H336"/>
  <c r="H470"/>
  <c r="H483"/>
  <c r="H873"/>
  <c r="H596"/>
  <c r="H877"/>
  <c r="H878"/>
  <c r="H629"/>
  <c r="H879"/>
  <c r="H630"/>
  <c r="H880"/>
  <c r="I223"/>
  <c r="I248"/>
  <c r="I118"/>
  <c r="I284"/>
  <c r="I283"/>
  <c r="I307"/>
  <c r="I289"/>
  <c r="I308"/>
  <c r="I295"/>
  <c r="I309"/>
  <c r="I301"/>
  <c r="I310"/>
  <c r="I375"/>
  <c r="I378"/>
  <c r="I416"/>
  <c r="I480"/>
  <c r="I674"/>
  <c r="I407"/>
  <c r="I472"/>
  <c r="I430"/>
  <c r="I485"/>
  <c r="I684"/>
  <c r="I831"/>
  <c r="I832"/>
  <c r="I839"/>
  <c r="I840"/>
  <c r="I685"/>
  <c r="I331"/>
  <c r="I341"/>
  <c r="I377"/>
  <c r="I349"/>
  <c r="I380"/>
  <c r="I357"/>
  <c r="I518"/>
  <c r="I638"/>
  <c r="I635"/>
  <c r="I636"/>
  <c r="I637"/>
  <c r="I314"/>
  <c r="I315"/>
  <c r="I316"/>
  <c r="I706"/>
  <c r="I714"/>
  <c r="I516"/>
  <c r="I528"/>
  <c r="I726"/>
  <c r="I376"/>
  <c r="I755"/>
  <c r="I517"/>
  <c r="I529"/>
  <c r="I379"/>
  <c r="I760"/>
  <c r="I633"/>
  <c r="I406"/>
  <c r="I471"/>
  <c r="I429"/>
  <c r="I484"/>
  <c r="I829"/>
  <c r="I764"/>
  <c r="I837"/>
  <c r="I106"/>
  <c r="I109"/>
  <c r="I623"/>
  <c r="I632"/>
  <c r="I738"/>
  <c r="I734"/>
  <c r="I631"/>
  <c r="I863"/>
  <c r="I865"/>
  <c r="I869"/>
  <c r="I474"/>
  <c r="I481"/>
  <c r="I522"/>
  <c r="I870"/>
  <c r="I486"/>
  <c r="I871"/>
  <c r="I224"/>
  <c r="I249"/>
  <c r="I226"/>
  <c r="I251"/>
  <c r="I573"/>
  <c r="I335"/>
  <c r="I336"/>
  <c r="I470"/>
  <c r="I483"/>
  <c r="I873"/>
  <c r="I596"/>
  <c r="I877"/>
  <c r="I878"/>
  <c r="I629"/>
  <c r="I879"/>
  <c r="I630"/>
  <c r="I880"/>
  <c r="J223"/>
  <c r="J248"/>
  <c r="J289"/>
  <c r="J308"/>
  <c r="J295"/>
  <c r="J309"/>
  <c r="J301"/>
  <c r="J310"/>
  <c r="J375"/>
  <c r="J378"/>
  <c r="J416"/>
  <c r="J480"/>
  <c r="J674"/>
  <c r="J407"/>
  <c r="J472"/>
  <c r="J430"/>
  <c r="J485"/>
  <c r="J684"/>
  <c r="J831"/>
  <c r="J832"/>
  <c r="J839"/>
  <c r="J840"/>
  <c r="J685"/>
  <c r="J331"/>
  <c r="J341"/>
  <c r="J377"/>
  <c r="J349"/>
  <c r="J380"/>
  <c r="J357"/>
  <c r="J518"/>
  <c r="J638"/>
  <c r="J635"/>
  <c r="J636"/>
  <c r="J637"/>
  <c r="J314"/>
  <c r="J315"/>
  <c r="J316"/>
  <c r="J706"/>
  <c r="J714"/>
  <c r="J726"/>
  <c r="J376"/>
  <c r="J755"/>
  <c r="J517"/>
  <c r="J529"/>
  <c r="J379"/>
  <c r="J760"/>
  <c r="J633"/>
  <c r="J406"/>
  <c r="J471"/>
  <c r="J429"/>
  <c r="J484"/>
  <c r="J829"/>
  <c r="J764"/>
  <c r="J837"/>
  <c r="K837" s="1"/>
  <c r="J106"/>
  <c r="K106" s="1"/>
  <c r="K109" s="1"/>
  <c r="J109"/>
  <c r="J623"/>
  <c r="J632"/>
  <c r="J738"/>
  <c r="J734"/>
  <c r="K734" s="1"/>
  <c r="J631"/>
  <c r="J863"/>
  <c r="J865"/>
  <c r="J869"/>
  <c r="J474"/>
  <c r="J481"/>
  <c r="J522"/>
  <c r="J870"/>
  <c r="J486"/>
  <c r="J871"/>
  <c r="J224"/>
  <c r="J249"/>
  <c r="J226"/>
  <c r="J251"/>
  <c r="J573"/>
  <c r="J335"/>
  <c r="J336"/>
  <c r="J470"/>
  <c r="J483"/>
  <c r="J873"/>
  <c r="J596"/>
  <c r="J877"/>
  <c r="J878"/>
  <c r="J629"/>
  <c r="J879"/>
  <c r="J630"/>
  <c r="J880"/>
  <c r="F125" i="2"/>
  <c r="G125"/>
  <c r="H125"/>
  <c r="I125"/>
  <c r="J125"/>
  <c r="F127"/>
  <c r="G127"/>
  <c r="H127"/>
  <c r="I127"/>
  <c r="J127"/>
  <c r="F167"/>
  <c r="F158"/>
  <c r="G162"/>
  <c r="G163"/>
  <c r="G164"/>
  <c r="G165"/>
  <c r="G167"/>
  <c r="G158"/>
  <c r="H162"/>
  <c r="H163"/>
  <c r="H164"/>
  <c r="H165"/>
  <c r="H167"/>
  <c r="H158"/>
  <c r="I162"/>
  <c r="I163"/>
  <c r="I164"/>
  <c r="I165"/>
  <c r="I167"/>
  <c r="I158"/>
  <c r="J162"/>
  <c r="K162" s="1"/>
  <c r="J163"/>
  <c r="J164"/>
  <c r="J165"/>
  <c r="J167"/>
  <c r="J158"/>
  <c r="B169"/>
  <c r="F168"/>
  <c r="G169"/>
  <c r="G168"/>
  <c r="H169"/>
  <c r="H168"/>
  <c r="I169"/>
  <c r="I168"/>
  <c r="J169"/>
  <c r="J168"/>
  <c r="H95"/>
  <c r="H96"/>
  <c r="H97"/>
  <c r="H98"/>
  <c r="B224"/>
  <c r="B176"/>
  <c r="B137"/>
  <c r="B138"/>
  <c r="B139"/>
  <c r="B140"/>
  <c r="B142"/>
  <c r="B146"/>
  <c r="B148"/>
  <c r="B149"/>
  <c r="J128"/>
  <c r="J121"/>
  <c r="J137"/>
  <c r="J138"/>
  <c r="J139"/>
  <c r="J140"/>
  <c r="J141"/>
  <c r="J142"/>
  <c r="J144"/>
  <c r="J146"/>
  <c r="J147"/>
  <c r="J148"/>
  <c r="J149"/>
  <c r="J151"/>
  <c r="J153"/>
  <c r="B520" i="3"/>
  <c r="B521"/>
  <c r="F521"/>
  <c r="G521"/>
  <c r="G522"/>
  <c r="G523"/>
  <c r="H521"/>
  <c r="H522"/>
  <c r="H523"/>
  <c r="I521"/>
  <c r="I522"/>
  <c r="I523"/>
  <c r="J521"/>
  <c r="K521" s="1"/>
  <c r="K522" s="1"/>
  <c r="J522"/>
  <c r="J523"/>
  <c r="K523" s="1"/>
  <c r="F186" i="2"/>
  <c r="G186"/>
  <c r="H186"/>
  <c r="I186"/>
  <c r="J186"/>
  <c r="K186" s="1"/>
  <c r="K295" s="1"/>
  <c r="F296"/>
  <c r="G206"/>
  <c r="G208"/>
  <c r="G209"/>
  <c r="G210"/>
  <c r="G211"/>
  <c r="G212"/>
  <c r="G128"/>
  <c r="G213"/>
  <c r="G207"/>
  <c r="G214"/>
  <c r="G215"/>
  <c r="G216"/>
  <c r="G217"/>
  <c r="G198"/>
  <c r="G192"/>
  <c r="G219"/>
  <c r="G174"/>
  <c r="G220"/>
  <c r="G222"/>
  <c r="G223"/>
  <c r="G224"/>
  <c r="G225"/>
  <c r="G296"/>
  <c r="H206"/>
  <c r="H208"/>
  <c r="H209"/>
  <c r="H210"/>
  <c r="H211"/>
  <c r="H212"/>
  <c r="H128"/>
  <c r="H213"/>
  <c r="H207"/>
  <c r="H214"/>
  <c r="H215"/>
  <c r="H216"/>
  <c r="H217"/>
  <c r="H198"/>
  <c r="H192"/>
  <c r="H219"/>
  <c r="H174"/>
  <c r="H220"/>
  <c r="H222"/>
  <c r="H223"/>
  <c r="H224"/>
  <c r="H225"/>
  <c r="H296"/>
  <c r="I206"/>
  <c r="I208"/>
  <c r="I209"/>
  <c r="I210"/>
  <c r="I211"/>
  <c r="I212"/>
  <c r="I128"/>
  <c r="I213"/>
  <c r="I207"/>
  <c r="I214"/>
  <c r="I215"/>
  <c r="I216"/>
  <c r="I217"/>
  <c r="I198"/>
  <c r="I192"/>
  <c r="I219"/>
  <c r="I174"/>
  <c r="I220"/>
  <c r="I222"/>
  <c r="I223"/>
  <c r="I224"/>
  <c r="I225"/>
  <c r="I296"/>
  <c r="J206"/>
  <c r="J208"/>
  <c r="J209"/>
  <c r="J210"/>
  <c r="J211"/>
  <c r="J212"/>
  <c r="J213"/>
  <c r="J207"/>
  <c r="J214"/>
  <c r="J215"/>
  <c r="J216"/>
  <c r="J217"/>
  <c r="J198"/>
  <c r="J192"/>
  <c r="J219"/>
  <c r="J174"/>
  <c r="J220"/>
  <c r="J222"/>
  <c r="J223"/>
  <c r="J224"/>
  <c r="J225"/>
  <c r="J296"/>
  <c r="B456" i="1"/>
  <c r="F259" i="2"/>
  <c r="G115"/>
  <c r="G230"/>
  <c r="G231"/>
  <c r="G232"/>
  <c r="G233"/>
  <c r="G131"/>
  <c r="G176"/>
  <c r="G234"/>
  <c r="G235"/>
  <c r="G236"/>
  <c r="G239"/>
  <c r="G182"/>
  <c r="G242"/>
  <c r="G121"/>
  <c r="G137"/>
  <c r="G138"/>
  <c r="G139"/>
  <c r="G140"/>
  <c r="G141"/>
  <c r="G142"/>
  <c r="G144"/>
  <c r="G146"/>
  <c r="G147"/>
  <c r="G148"/>
  <c r="G149"/>
  <c r="G151"/>
  <c r="G153"/>
  <c r="F137"/>
  <c r="F138"/>
  <c r="F139"/>
  <c r="F140"/>
  <c r="F142"/>
  <c r="F144"/>
  <c r="F146"/>
  <c r="F148"/>
  <c r="F149"/>
  <c r="F151"/>
  <c r="F153"/>
  <c r="G181"/>
  <c r="G244"/>
  <c r="G245"/>
  <c r="G247"/>
  <c r="G249"/>
  <c r="G251"/>
  <c r="G252"/>
  <c r="G253"/>
  <c r="G256"/>
  <c r="G258"/>
  <c r="G259"/>
  <c r="H115"/>
  <c r="H230"/>
  <c r="H231"/>
  <c r="H232"/>
  <c r="H233"/>
  <c r="H131"/>
  <c r="H176"/>
  <c r="H234"/>
  <c r="H235"/>
  <c r="H236"/>
  <c r="H239"/>
  <c r="H182"/>
  <c r="H242"/>
  <c r="H121"/>
  <c r="H137"/>
  <c r="H138"/>
  <c r="H139"/>
  <c r="H140"/>
  <c r="H141"/>
  <c r="H142"/>
  <c r="H144"/>
  <c r="H146"/>
  <c r="H147"/>
  <c r="H148"/>
  <c r="H149"/>
  <c r="H151"/>
  <c r="H153"/>
  <c r="H181"/>
  <c r="H244"/>
  <c r="H245"/>
  <c r="H247"/>
  <c r="H249"/>
  <c r="H251"/>
  <c r="H252"/>
  <c r="H253"/>
  <c r="H256"/>
  <c r="H258"/>
  <c r="H259"/>
  <c r="I115"/>
  <c r="I230"/>
  <c r="I231"/>
  <c r="I232"/>
  <c r="I233"/>
  <c r="I131"/>
  <c r="I176"/>
  <c r="I234"/>
  <c r="I235"/>
  <c r="I236"/>
  <c r="I239"/>
  <c r="I182"/>
  <c r="I242"/>
  <c r="I121"/>
  <c r="I137"/>
  <c r="I138"/>
  <c r="I139"/>
  <c r="I140"/>
  <c r="I141"/>
  <c r="I142"/>
  <c r="I144"/>
  <c r="I146"/>
  <c r="I147"/>
  <c r="I148"/>
  <c r="I149"/>
  <c r="I151"/>
  <c r="I153"/>
  <c r="I181"/>
  <c r="I244"/>
  <c r="I245"/>
  <c r="I247"/>
  <c r="I249"/>
  <c r="I251"/>
  <c r="I252"/>
  <c r="I253"/>
  <c r="I256"/>
  <c r="I258"/>
  <c r="I259"/>
  <c r="J115"/>
  <c r="J230"/>
  <c r="J231"/>
  <c r="J232"/>
  <c r="J233"/>
  <c r="J131"/>
  <c r="J176"/>
  <c r="J234"/>
  <c r="J235"/>
  <c r="J236"/>
  <c r="J239"/>
  <c r="J182"/>
  <c r="J242"/>
  <c r="J181"/>
  <c r="J244"/>
  <c r="J245"/>
  <c r="J247"/>
  <c r="J249"/>
  <c r="J251"/>
  <c r="J252"/>
  <c r="J253"/>
  <c r="J256"/>
  <c r="J258"/>
  <c r="J259"/>
  <c r="F456" i="3"/>
  <c r="G456"/>
  <c r="G457"/>
  <c r="G458"/>
  <c r="H456"/>
  <c r="H457"/>
  <c r="H458"/>
  <c r="I456"/>
  <c r="I457"/>
  <c r="I458"/>
  <c r="J456"/>
  <c r="K456" s="1"/>
  <c r="K457" s="1"/>
  <c r="J457"/>
  <c r="J458"/>
  <c r="K458" s="1"/>
  <c r="F115" i="2"/>
  <c r="F230"/>
  <c r="F231"/>
  <c r="F154" i="3"/>
  <c r="F232" i="2"/>
  <c r="F153" i="3"/>
  <c r="F156"/>
  <c r="F233" i="2"/>
  <c r="F155" i="3"/>
  <c r="H102" i="2"/>
  <c r="F224"/>
  <c r="F210"/>
  <c r="F131"/>
  <c r="F234"/>
  <c r="F34" i="3"/>
  <c r="F33"/>
  <c r="F160"/>
  <c r="H93" i="2"/>
  <c r="F219"/>
  <c r="F235"/>
  <c r="F159" i="3"/>
  <c r="F162"/>
  <c r="F236" i="2"/>
  <c r="F161" i="3"/>
  <c r="F164"/>
  <c r="F163"/>
  <c r="E468"/>
  <c r="K468" s="1"/>
  <c r="E466"/>
  <c r="K466" s="1"/>
  <c r="E465"/>
  <c r="K465" s="1"/>
  <c r="E464"/>
  <c r="K464" s="1"/>
  <c r="E462"/>
  <c r="F462"/>
  <c r="F169"/>
  <c r="F168"/>
  <c r="F171"/>
  <c r="F242" i="2"/>
  <c r="F170" i="3"/>
  <c r="F173"/>
  <c r="F172"/>
  <c r="F175"/>
  <c r="F244" i="2"/>
  <c r="F174" i="3"/>
  <c r="F177"/>
  <c r="F245" i="2"/>
  <c r="F176" i="3"/>
  <c r="F179"/>
  <c r="F463"/>
  <c r="F212" i="2"/>
  <c r="F253"/>
  <c r="G160" i="3"/>
  <c r="G159"/>
  <c r="G164"/>
  <c r="G163"/>
  <c r="G462"/>
  <c r="G169"/>
  <c r="G168"/>
  <c r="G171"/>
  <c r="G170"/>
  <c r="G173"/>
  <c r="G172"/>
  <c r="G177"/>
  <c r="G176"/>
  <c r="H160"/>
  <c r="H159"/>
  <c r="H164"/>
  <c r="H163"/>
  <c r="H462"/>
  <c r="H169"/>
  <c r="H168"/>
  <c r="H171"/>
  <c r="H170"/>
  <c r="H173"/>
  <c r="H172"/>
  <c r="H177"/>
  <c r="H176"/>
  <c r="I160"/>
  <c r="I159"/>
  <c r="I164"/>
  <c r="I163"/>
  <c r="I462"/>
  <c r="I169"/>
  <c r="I168"/>
  <c r="I171"/>
  <c r="I170"/>
  <c r="I173"/>
  <c r="I172"/>
  <c r="I177"/>
  <c r="I176"/>
  <c r="J160"/>
  <c r="J159"/>
  <c r="J164"/>
  <c r="J163"/>
  <c r="J462"/>
  <c r="J169"/>
  <c r="J168"/>
  <c r="J171"/>
  <c r="J170"/>
  <c r="J173"/>
  <c r="J172"/>
  <c r="J177"/>
  <c r="J176"/>
  <c r="F182"/>
  <c r="F249" i="2"/>
  <c r="F181" i="3"/>
  <c r="F184"/>
  <c r="F183"/>
  <c r="F186"/>
  <c r="F251" i="2"/>
  <c r="F185" i="3"/>
  <c r="F188"/>
  <c r="F252" i="2"/>
  <c r="F187" i="3"/>
  <c r="F192"/>
  <c r="F44"/>
  <c r="F43"/>
  <c r="F191"/>
  <c r="G182"/>
  <c r="G181"/>
  <c r="G184"/>
  <c r="G183"/>
  <c r="G186"/>
  <c r="G185"/>
  <c r="G188"/>
  <c r="G187"/>
  <c r="H182"/>
  <c r="H181"/>
  <c r="H184"/>
  <c r="H183"/>
  <c r="H186"/>
  <c r="H185"/>
  <c r="H188"/>
  <c r="H187"/>
  <c r="I182"/>
  <c r="I181"/>
  <c r="I184"/>
  <c r="I183"/>
  <c r="I186"/>
  <c r="I185"/>
  <c r="I188"/>
  <c r="I187"/>
  <c r="J182"/>
  <c r="J181"/>
  <c r="J184"/>
  <c r="J183"/>
  <c r="J186"/>
  <c r="J185"/>
  <c r="J188"/>
  <c r="J187"/>
  <c r="E469"/>
  <c r="F468" i="1"/>
  <c r="F493"/>
  <c r="F690"/>
  <c r="G468"/>
  <c r="G493"/>
  <c r="G690"/>
  <c r="H468"/>
  <c r="H493"/>
  <c r="H690"/>
  <c r="I468"/>
  <c r="I493"/>
  <c r="I690"/>
  <c r="J468"/>
  <c r="J493"/>
  <c r="J690"/>
  <c r="B457"/>
  <c r="F271" i="2"/>
  <c r="G271"/>
  <c r="H271"/>
  <c r="I271"/>
  <c r="J271"/>
  <c r="K271" s="1"/>
  <c r="F272"/>
  <c r="G272"/>
  <c r="H272"/>
  <c r="I272"/>
  <c r="J272"/>
  <c r="K272" s="1"/>
  <c r="K268" i="3" s="1"/>
  <c r="J277" i="2"/>
  <c r="J275"/>
  <c r="J278"/>
  <c r="J973" i="1"/>
  <c r="J309" i="3"/>
  <c r="J295" i="2"/>
  <c r="J308" i="3"/>
  <c r="J975" i="1"/>
  <c r="J313" i="3"/>
  <c r="J297" i="2"/>
  <c r="J312" i="3"/>
  <c r="J264" i="2"/>
  <c r="J265"/>
  <c r="J266"/>
  <c r="J267"/>
  <c r="J268"/>
  <c r="J269"/>
  <c r="J695" i="1"/>
  <c r="J270" i="2"/>
  <c r="J269" i="3"/>
  <c r="J268"/>
  <c r="F84"/>
  <c r="F206" i="2"/>
  <c r="F208"/>
  <c r="F209"/>
  <c r="F211"/>
  <c r="F128"/>
  <c r="F213"/>
  <c r="F207"/>
  <c r="F214"/>
  <c r="F215"/>
  <c r="F216"/>
  <c r="F217"/>
  <c r="F220"/>
  <c r="F222"/>
  <c r="F223"/>
  <c r="F83" i="3"/>
  <c r="F86"/>
  <c r="F85"/>
  <c r="F87"/>
  <c r="F90"/>
  <c r="F89"/>
  <c r="F91"/>
  <c r="F93"/>
  <c r="C1211" i="1"/>
  <c r="B1246"/>
  <c r="G1247"/>
  <c r="H1247"/>
  <c r="I1247"/>
  <c r="J1247"/>
  <c r="K1247" s="1"/>
  <c r="B1210"/>
  <c r="B1211"/>
  <c r="B1212"/>
  <c r="B1213"/>
  <c r="B1214"/>
  <c r="B1215"/>
  <c r="B1216"/>
  <c r="B1217"/>
  <c r="B1218"/>
  <c r="B1219"/>
  <c r="B1184"/>
  <c r="F1184"/>
  <c r="G1184"/>
  <c r="G1185"/>
  <c r="G1186"/>
  <c r="H1184"/>
  <c r="H1185"/>
  <c r="H1186"/>
  <c r="I1184"/>
  <c r="I1185"/>
  <c r="I1186"/>
  <c r="J1184"/>
  <c r="K1184" s="1"/>
  <c r="K1185" s="1"/>
  <c r="J1185"/>
  <c r="J1186"/>
  <c r="K1186" s="1"/>
  <c r="F1118"/>
  <c r="G1118"/>
  <c r="G1119"/>
  <c r="G1120"/>
  <c r="H1118"/>
  <c r="H1119"/>
  <c r="H1120"/>
  <c r="I1118"/>
  <c r="I1119"/>
  <c r="I1120"/>
  <c r="J1118"/>
  <c r="K1118" s="1"/>
  <c r="K1119" s="1"/>
  <c r="J1119"/>
  <c r="J1120"/>
  <c r="K1120" s="1"/>
  <c r="E1132"/>
  <c r="E1131"/>
  <c r="E1130"/>
  <c r="K1130" s="1"/>
  <c r="E1128"/>
  <c r="K1128" s="1"/>
  <c r="E1127"/>
  <c r="K1127" s="1"/>
  <c r="E1126"/>
  <c r="K1126" s="1"/>
  <c r="E1124"/>
  <c r="F1124"/>
  <c r="F1125"/>
  <c r="G1124"/>
  <c r="H1124"/>
  <c r="I1124"/>
  <c r="J1124"/>
  <c r="F850"/>
  <c r="G850"/>
  <c r="H850"/>
  <c r="I850"/>
  <c r="J850"/>
  <c r="K850" s="1"/>
  <c r="G730"/>
  <c r="H730"/>
  <c r="I730"/>
  <c r="J730"/>
  <c r="K730" s="1"/>
  <c r="G725"/>
  <c r="H725"/>
  <c r="I725"/>
  <c r="J725"/>
  <c r="K725" s="1"/>
  <c r="G717"/>
  <c r="H717"/>
  <c r="I717"/>
  <c r="J717"/>
  <c r="K717" s="1"/>
  <c r="G713"/>
  <c r="H713"/>
  <c r="I713"/>
  <c r="J713"/>
  <c r="K713" s="1"/>
  <c r="G709"/>
  <c r="H709"/>
  <c r="I709"/>
  <c r="J709"/>
  <c r="K709" s="1"/>
  <c r="G705"/>
  <c r="H705"/>
  <c r="I705"/>
  <c r="J705"/>
  <c r="K705" s="1"/>
  <c r="G702"/>
  <c r="H702"/>
  <c r="I702"/>
  <c r="J702"/>
  <c r="K702" s="1"/>
  <c r="G110"/>
  <c r="H110"/>
  <c r="I110"/>
  <c r="J110"/>
  <c r="K110" s="1"/>
  <c r="G103"/>
  <c r="H103"/>
  <c r="I103"/>
  <c r="J103"/>
  <c r="K103" s="1"/>
  <c r="G93"/>
  <c r="H93"/>
  <c r="I93"/>
  <c r="J93"/>
  <c r="K93" s="1"/>
  <c r="B11"/>
  <c r="C1117"/>
  <c r="C1135"/>
  <c r="F1126"/>
  <c r="C252"/>
  <c r="A252"/>
  <c r="F251"/>
  <c r="C251"/>
  <c r="A251"/>
  <c r="C250"/>
  <c r="A250"/>
  <c r="F249"/>
  <c r="C249"/>
  <c r="A249"/>
  <c r="C248"/>
  <c r="A248"/>
  <c r="C247"/>
  <c r="A247"/>
  <c r="A246"/>
  <c r="A245"/>
  <c r="A244"/>
  <c r="C243"/>
  <c r="B243"/>
  <c r="A243"/>
  <c r="C242"/>
  <c r="A242"/>
  <c r="C241"/>
  <c r="A241"/>
  <c r="C240"/>
  <c r="A240"/>
  <c r="C239"/>
  <c r="A239"/>
  <c r="C238"/>
  <c r="A238"/>
  <c r="C237"/>
  <c r="A237"/>
  <c r="C236"/>
  <c r="A236"/>
  <c r="C235"/>
  <c r="A235"/>
  <c r="C234"/>
  <c r="A234"/>
  <c r="C233"/>
  <c r="A233"/>
  <c r="C232"/>
  <c r="A232"/>
  <c r="C231"/>
  <c r="A231"/>
  <c r="C230"/>
  <c r="A230"/>
  <c r="C229"/>
  <c r="A229"/>
  <c r="G228"/>
  <c r="H228"/>
  <c r="I228"/>
  <c r="J228"/>
  <c r="C228"/>
  <c r="A228"/>
  <c r="C124"/>
  <c r="C197"/>
  <c r="A124"/>
  <c r="A197"/>
  <c r="C190"/>
  <c r="A190"/>
  <c r="C170"/>
  <c r="A170"/>
  <c r="F169"/>
  <c r="C169"/>
  <c r="A169"/>
  <c r="C168"/>
  <c r="A168"/>
  <c r="F167"/>
  <c r="C167"/>
  <c r="A167"/>
  <c r="C166"/>
  <c r="A166"/>
  <c r="C165"/>
  <c r="A165"/>
  <c r="A164"/>
  <c r="A163"/>
  <c r="A162"/>
  <c r="C161"/>
  <c r="B161"/>
  <c r="A161"/>
  <c r="C160"/>
  <c r="A160"/>
  <c r="C159"/>
  <c r="A159"/>
  <c r="C158"/>
  <c r="A158"/>
  <c r="A139"/>
  <c r="A138"/>
  <c r="A137"/>
  <c r="C136"/>
  <c r="B136"/>
  <c r="A136"/>
  <c r="C135"/>
  <c r="A135"/>
  <c r="G109"/>
  <c r="F1236"/>
  <c r="G1236"/>
  <c r="H1236"/>
  <c r="I1236"/>
  <c r="J1236"/>
  <c r="M1236"/>
  <c r="F1231"/>
  <c r="G1231"/>
  <c r="H1231"/>
  <c r="I1231"/>
  <c r="J1231"/>
  <c r="M1231"/>
  <c r="A1228"/>
  <c r="C1227"/>
  <c r="B1227"/>
  <c r="G562" i="3"/>
  <c r="H562"/>
  <c r="I562"/>
  <c r="J562"/>
  <c r="F562"/>
  <c r="G973" i="1"/>
  <c r="G309" i="3"/>
  <c r="G295" i="2"/>
  <c r="G308" i="3"/>
  <c r="H973" i="1"/>
  <c r="H309" i="3"/>
  <c r="H295" i="2"/>
  <c r="H308" i="3"/>
  <c r="I973" i="1"/>
  <c r="I309" i="3"/>
  <c r="I295" i="2"/>
  <c r="I308" i="3"/>
  <c r="G975" i="1"/>
  <c r="G313" i="3"/>
  <c r="G297" i="2"/>
  <c r="G312" i="3"/>
  <c r="H975" i="1"/>
  <c r="H313" i="3"/>
  <c r="H297" i="2"/>
  <c r="H312" i="3"/>
  <c r="I975" i="1"/>
  <c r="I313" i="3"/>
  <c r="I297" i="2"/>
  <c r="I312" i="3"/>
  <c r="F975" i="1"/>
  <c r="F313" i="3"/>
  <c r="F297" i="2"/>
  <c r="F312" i="3"/>
  <c r="F974" i="1"/>
  <c r="F311" i="3"/>
  <c r="F310"/>
  <c r="F973" i="1"/>
  <c r="F309" i="3"/>
  <c r="F295" i="2"/>
  <c r="F308" i="3"/>
  <c r="G971" i="1"/>
  <c r="G306" i="3"/>
  <c r="G293" i="2"/>
  <c r="G305" i="3"/>
  <c r="H971" i="1"/>
  <c r="H306" i="3"/>
  <c r="H293" i="2"/>
  <c r="H305" i="3"/>
  <c r="I971" i="1"/>
  <c r="I306" i="3"/>
  <c r="I293" i="2"/>
  <c r="I305" i="3"/>
  <c r="J971" i="1"/>
  <c r="J306" i="3"/>
  <c r="J293" i="2"/>
  <c r="J305" i="3"/>
  <c r="F971" i="1"/>
  <c r="F306" i="3"/>
  <c r="F293" i="2"/>
  <c r="F305" i="3"/>
  <c r="G284" i="2"/>
  <c r="G283"/>
  <c r="H284"/>
  <c r="H283"/>
  <c r="I284"/>
  <c r="I283"/>
  <c r="J284"/>
  <c r="J283"/>
  <c r="G286"/>
  <c r="H286"/>
  <c r="I286"/>
  <c r="J286"/>
  <c r="G287"/>
  <c r="H287"/>
  <c r="I287"/>
  <c r="J287"/>
  <c r="G288"/>
  <c r="H288"/>
  <c r="I288"/>
  <c r="J288"/>
  <c r="G967" i="1"/>
  <c r="G299" i="3"/>
  <c r="G289" i="2"/>
  <c r="G298" i="3"/>
  <c r="H967" i="1"/>
  <c r="H299" i="3"/>
  <c r="H289" i="2"/>
  <c r="H298" i="3"/>
  <c r="I967" i="1"/>
  <c r="I299" i="3"/>
  <c r="I289" i="2"/>
  <c r="I298" i="3"/>
  <c r="J967" i="1"/>
  <c r="J299" i="3"/>
  <c r="J289" i="2"/>
  <c r="J298" i="3"/>
  <c r="G301"/>
  <c r="G290" i="2"/>
  <c r="G300" i="3"/>
  <c r="H301"/>
  <c r="H290" i="2"/>
  <c r="H300" i="3"/>
  <c r="I301"/>
  <c r="I290" i="2"/>
  <c r="I300" i="3"/>
  <c r="J301"/>
  <c r="J290" i="2"/>
  <c r="J300" i="3"/>
  <c r="F301"/>
  <c r="F290" i="2"/>
  <c r="F300" i="3"/>
  <c r="F967" i="1"/>
  <c r="F299" i="3"/>
  <c r="F289" i="2"/>
  <c r="F298" i="3"/>
  <c r="F154" i="1"/>
  <c r="F288" i="2"/>
  <c r="F965" i="1"/>
  <c r="F295" i="3"/>
  <c r="F287" i="2"/>
  <c r="F294" i="3"/>
  <c r="F964" i="1"/>
  <c r="F293" i="3"/>
  <c r="F286" i="2"/>
  <c r="F292" i="3"/>
  <c r="F226" i="1"/>
  <c r="F284" i="2"/>
  <c r="F283"/>
  <c r="G277"/>
  <c r="G275"/>
  <c r="H277"/>
  <c r="H275"/>
  <c r="I277"/>
  <c r="I275"/>
  <c r="G278"/>
  <c r="H278"/>
  <c r="I278"/>
  <c r="F278"/>
  <c r="F955" i="1"/>
  <c r="F278" i="3"/>
  <c r="F277" i="2"/>
  <c r="F277" i="3"/>
  <c r="F954" i="1"/>
  <c r="F276" i="3"/>
  <c r="F275"/>
  <c r="F953" i="1"/>
  <c r="F274" i="3"/>
  <c r="F275" i="2"/>
  <c r="F273" i="3"/>
  <c r="G264" i="2"/>
  <c r="H264"/>
  <c r="I264"/>
  <c r="G265"/>
  <c r="H265"/>
  <c r="I265"/>
  <c r="G266"/>
  <c r="H266"/>
  <c r="I266"/>
  <c r="G267"/>
  <c r="H267"/>
  <c r="I267"/>
  <c r="G268"/>
  <c r="H268"/>
  <c r="I268"/>
  <c r="G269"/>
  <c r="H269"/>
  <c r="I269"/>
  <c r="G695" i="1"/>
  <c r="G270" i="2"/>
  <c r="H695" i="1"/>
  <c r="H270" i="2"/>
  <c r="I695" i="1"/>
  <c r="I270" i="2"/>
  <c r="G269" i="3"/>
  <c r="G268"/>
  <c r="H269"/>
  <c r="H268"/>
  <c r="I269"/>
  <c r="I268"/>
  <c r="F269"/>
  <c r="F268"/>
  <c r="F492" i="1"/>
  <c r="F949"/>
  <c r="F267" i="3"/>
  <c r="F266"/>
  <c r="F270" i="2"/>
  <c r="F947" i="1"/>
  <c r="F263" i="3"/>
  <c r="F269" i="2"/>
  <c r="F262" i="3"/>
  <c r="F946" i="1"/>
  <c r="F261" i="3"/>
  <c r="F268" i="2"/>
  <c r="F260" i="3"/>
  <c r="F945" i="1"/>
  <c r="F259" i="3"/>
  <c r="F267" i="2"/>
  <c r="F258" i="3"/>
  <c r="F224" i="1"/>
  <c r="F266" i="2"/>
  <c r="F156" i="1"/>
  <c r="F265" i="2"/>
  <c r="F264"/>
  <c r="G60" i="3"/>
  <c r="G59"/>
  <c r="H60"/>
  <c r="H59"/>
  <c r="I60"/>
  <c r="I59"/>
  <c r="J60"/>
  <c r="J59"/>
  <c r="G70"/>
  <c r="G69"/>
  <c r="H70"/>
  <c r="H69"/>
  <c r="I70"/>
  <c r="I69"/>
  <c r="J70"/>
  <c r="J69"/>
  <c r="G78"/>
  <c r="G77"/>
  <c r="H78"/>
  <c r="H77"/>
  <c r="I78"/>
  <c r="I77"/>
  <c r="J78"/>
  <c r="J7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21"/>
  <c r="F20"/>
  <c r="M254" i="2"/>
  <c r="M252"/>
  <c r="M251"/>
  <c r="M249"/>
  <c r="M245"/>
  <c r="M243"/>
  <c r="M241"/>
  <c r="M237"/>
  <c r="M221"/>
  <c r="M218"/>
  <c r="G1274" i="1"/>
  <c r="H1274"/>
  <c r="I1274"/>
  <c r="J1274"/>
  <c r="F1274"/>
  <c r="C374"/>
  <c r="A374"/>
  <c r="C338"/>
  <c r="A338"/>
  <c r="C44" i="3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6"/>
  <c r="C17"/>
  <c r="F566"/>
  <c r="G566"/>
  <c r="H566"/>
  <c r="I566"/>
  <c r="J566"/>
  <c r="F565"/>
  <c r="G565"/>
  <c r="H565"/>
  <c r="I565"/>
  <c r="J565"/>
  <c r="F564"/>
  <c r="G564"/>
  <c r="H564"/>
  <c r="I564"/>
  <c r="J564"/>
  <c r="F553"/>
  <c r="F552"/>
  <c r="G552"/>
  <c r="H552"/>
  <c r="I552"/>
  <c r="J552"/>
  <c r="F528"/>
  <c r="F485"/>
  <c r="F486"/>
  <c r="M184"/>
  <c r="M183"/>
  <c r="M164"/>
  <c r="M163"/>
  <c r="F92"/>
  <c r="F88"/>
  <c r="F42"/>
  <c r="F41"/>
  <c r="F40"/>
  <c r="F39"/>
  <c r="F38"/>
  <c r="G38"/>
  <c r="H38"/>
  <c r="I38"/>
  <c r="J38"/>
  <c r="M38"/>
  <c r="F37"/>
  <c r="G37"/>
  <c r="H37"/>
  <c r="I37"/>
  <c r="J37"/>
  <c r="M37"/>
  <c r="F36"/>
  <c r="G36"/>
  <c r="H36"/>
  <c r="I36"/>
  <c r="J36"/>
  <c r="F35"/>
  <c r="G35"/>
  <c r="H35"/>
  <c r="I35"/>
  <c r="J35"/>
  <c r="G29"/>
  <c r="H29"/>
  <c r="I29"/>
  <c r="J29"/>
  <c r="G28"/>
  <c r="H28"/>
  <c r="I28"/>
  <c r="J28"/>
  <c r="G21"/>
  <c r="H21"/>
  <c r="I21"/>
  <c r="J21"/>
  <c r="G20"/>
  <c r="H20"/>
  <c r="I20"/>
  <c r="J20"/>
  <c r="C317"/>
  <c r="C315"/>
  <c r="C309"/>
  <c r="C310"/>
  <c r="C311"/>
  <c r="C312"/>
  <c r="C313"/>
  <c r="C308"/>
  <c r="C306"/>
  <c r="C305"/>
  <c r="C303"/>
  <c r="C287"/>
  <c r="C288"/>
  <c r="C289"/>
  <c r="C290"/>
  <c r="C291"/>
  <c r="C292"/>
  <c r="C293"/>
  <c r="C294"/>
  <c r="C295"/>
  <c r="C296"/>
  <c r="C297"/>
  <c r="C298"/>
  <c r="C299"/>
  <c r="C300"/>
  <c r="C301"/>
  <c r="C286"/>
  <c r="C284"/>
  <c r="C282"/>
  <c r="C274"/>
  <c r="C275"/>
  <c r="C276"/>
  <c r="C277"/>
  <c r="C278"/>
  <c r="C279"/>
  <c r="C280"/>
  <c r="C273"/>
  <c r="C271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52"/>
  <c r="C197"/>
  <c r="C196"/>
  <c r="C194"/>
  <c r="C182"/>
  <c r="C183"/>
  <c r="C184"/>
  <c r="C185"/>
  <c r="C186"/>
  <c r="C187"/>
  <c r="C188"/>
  <c r="C189"/>
  <c r="C190"/>
  <c r="C191"/>
  <c r="C192"/>
  <c r="C181"/>
  <c r="C179"/>
  <c r="C169"/>
  <c r="C170"/>
  <c r="C171"/>
  <c r="C172"/>
  <c r="C173"/>
  <c r="C174"/>
  <c r="C175"/>
  <c r="C176"/>
  <c r="C177"/>
  <c r="C168"/>
  <c r="C166"/>
  <c r="C150"/>
  <c r="C151"/>
  <c r="C152"/>
  <c r="C153"/>
  <c r="C154"/>
  <c r="C155"/>
  <c r="C156"/>
  <c r="C157"/>
  <c r="C158"/>
  <c r="C159"/>
  <c r="C160"/>
  <c r="C161"/>
  <c r="C162"/>
  <c r="C163"/>
  <c r="C164"/>
  <c r="C1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49"/>
  <c r="J30" i="1"/>
  <c r="I30"/>
  <c r="M32"/>
  <c r="J32"/>
  <c r="I32"/>
  <c r="H30"/>
  <c r="H32"/>
  <c r="G30"/>
  <c r="G32"/>
  <c r="F315" i="3"/>
  <c r="F530"/>
  <c r="A525"/>
  <c r="G1232" i="1"/>
  <c r="G1233"/>
  <c r="G1234"/>
  <c r="H1232"/>
  <c r="H1233"/>
  <c r="H1234"/>
  <c r="I1232"/>
  <c r="I1233"/>
  <c r="I1234"/>
  <c r="J1232"/>
  <c r="J1233"/>
  <c r="J1234"/>
  <c r="G1237"/>
  <c r="G1238"/>
  <c r="G1239"/>
  <c r="H1237"/>
  <c r="H1238"/>
  <c r="H1239"/>
  <c r="I1237"/>
  <c r="I1238"/>
  <c r="I1239"/>
  <c r="J1237"/>
  <c r="J1238"/>
  <c r="J1239"/>
  <c r="F1237"/>
  <c r="F1238"/>
  <c r="F1239"/>
  <c r="F1232"/>
  <c r="F1233"/>
  <c r="F1234"/>
  <c r="A1249"/>
  <c r="A1248"/>
  <c r="A1188"/>
  <c r="F1193"/>
  <c r="F976"/>
  <c r="F1191"/>
  <c r="A543" i="3"/>
  <c r="A104" i="1"/>
  <c r="A94"/>
  <c r="A103"/>
  <c r="A93"/>
  <c r="A471" i="3"/>
  <c r="A1134" i="1"/>
  <c r="A317"/>
  <c r="A316"/>
  <c r="A315"/>
  <c r="A314"/>
  <c r="A313"/>
  <c r="A312"/>
  <c r="H28"/>
  <c r="I28"/>
  <c r="J28"/>
  <c r="G28"/>
  <c r="F634"/>
  <c r="H634"/>
  <c r="I634"/>
  <c r="J634"/>
  <c r="F633"/>
  <c r="F632"/>
  <c r="C633"/>
  <c r="C634"/>
  <c r="A634"/>
  <c r="A346"/>
  <c r="A345"/>
  <c r="A354"/>
  <c r="A353"/>
  <c r="A336"/>
  <c r="A335"/>
  <c r="A328"/>
  <c r="A327"/>
  <c r="G469" i="3"/>
  <c r="H469"/>
  <c r="I469"/>
  <c r="J469"/>
  <c r="G1132" i="1"/>
  <c r="H1132"/>
  <c r="I1132"/>
  <c r="J1132"/>
  <c r="A638"/>
  <c r="A633"/>
  <c r="A627"/>
  <c r="A626"/>
  <c r="A625"/>
  <c r="A624"/>
  <c r="C614"/>
  <c r="C619"/>
  <c r="A619"/>
  <c r="C627"/>
  <c r="C625"/>
  <c r="C624"/>
  <c r="M410"/>
  <c r="C455" i="3"/>
  <c r="C469"/>
  <c r="B469"/>
  <c r="A469"/>
  <c r="A1132" i="1"/>
  <c r="C454" i="3"/>
  <c r="A454"/>
  <c r="F1131" i="1"/>
  <c r="B1132"/>
  <c r="C1132"/>
  <c r="B459"/>
  <c r="A1116"/>
  <c r="A1115"/>
  <c r="C1116"/>
  <c r="C1115"/>
  <c r="C741"/>
  <c r="C742"/>
  <c r="C743"/>
  <c r="A743"/>
  <c r="A742"/>
  <c r="A741"/>
  <c r="C354"/>
  <c r="C353"/>
  <c r="C346"/>
  <c r="C345"/>
  <c r="C363"/>
  <c r="C364"/>
  <c r="C365"/>
  <c r="C366"/>
  <c r="C367"/>
  <c r="C368"/>
  <c r="C369"/>
  <c r="C370"/>
  <c r="G366"/>
  <c r="H366"/>
  <c r="I366"/>
  <c r="J366"/>
  <c r="G370"/>
  <c r="H370"/>
  <c r="I370"/>
  <c r="J370"/>
  <c r="A372"/>
  <c r="A373"/>
  <c r="A370"/>
  <c r="A369"/>
  <c r="A368"/>
  <c r="A367"/>
  <c r="A366"/>
  <c r="A365"/>
  <c r="A364"/>
  <c r="A363"/>
  <c r="G345"/>
  <c r="G346"/>
  <c r="G353"/>
  <c r="G354"/>
  <c r="A371"/>
  <c r="A362"/>
  <c r="C362"/>
  <c r="H345"/>
  <c r="H346"/>
  <c r="H353"/>
  <c r="H354"/>
  <c r="I345"/>
  <c r="I346"/>
  <c r="I353"/>
  <c r="I354"/>
  <c r="J345"/>
  <c r="J346"/>
  <c r="J353"/>
  <c r="J354"/>
  <c r="C327"/>
  <c r="C328"/>
  <c r="C336"/>
  <c r="C359"/>
  <c r="C372"/>
  <c r="C373"/>
  <c r="C300"/>
  <c r="B300"/>
  <c r="C294"/>
  <c r="B294"/>
  <c r="C288"/>
  <c r="B288"/>
  <c r="C281"/>
  <c r="A281"/>
  <c r="F102"/>
  <c r="G104"/>
  <c r="H104"/>
  <c r="I104"/>
  <c r="J104"/>
  <c r="A98"/>
  <c r="A7" i="3"/>
  <c r="A44"/>
  <c r="A42"/>
  <c r="A40"/>
  <c r="A38"/>
  <c r="A36"/>
  <c r="A34"/>
  <c r="A31"/>
  <c r="A29"/>
  <c r="A27"/>
  <c r="A25"/>
  <c r="A23"/>
  <c r="A21"/>
  <c r="A19"/>
  <c r="A17"/>
  <c r="A313"/>
  <c r="A311"/>
  <c r="A309"/>
  <c r="A306"/>
  <c r="A301"/>
  <c r="A299"/>
  <c r="A297"/>
  <c r="A295"/>
  <c r="A293"/>
  <c r="A291"/>
  <c r="A289"/>
  <c r="A287"/>
  <c r="A280"/>
  <c r="A278"/>
  <c r="A276"/>
  <c r="A274"/>
  <c r="A269"/>
  <c r="A267"/>
  <c r="A265"/>
  <c r="A263"/>
  <c r="A261"/>
  <c r="A259"/>
  <c r="A257"/>
  <c r="A255"/>
  <c r="A253"/>
  <c r="A192"/>
  <c r="A190"/>
  <c r="A188"/>
  <c r="A186"/>
  <c r="A184"/>
  <c r="A182"/>
  <c r="A177"/>
  <c r="A175"/>
  <c r="A173"/>
  <c r="A171"/>
  <c r="A169"/>
  <c r="A164"/>
  <c r="A162"/>
  <c r="A160"/>
  <c r="A158"/>
  <c r="A156"/>
  <c r="A154"/>
  <c r="A152"/>
  <c r="A150"/>
  <c r="F465"/>
  <c r="F466"/>
  <c r="F464"/>
  <c r="F468"/>
  <c r="G465"/>
  <c r="G466"/>
  <c r="G464"/>
  <c r="G468"/>
  <c r="H465"/>
  <c r="H466"/>
  <c r="H464"/>
  <c r="H468"/>
  <c r="I465"/>
  <c r="I466"/>
  <c r="I464"/>
  <c r="I468"/>
  <c r="J465"/>
  <c r="J466"/>
  <c r="J464"/>
  <c r="J468"/>
  <c r="A476"/>
  <c r="F1148" i="1"/>
  <c r="F1149"/>
  <c r="A1139"/>
  <c r="B490" i="3"/>
  <c r="B489"/>
  <c r="B1153" i="1"/>
  <c r="B1152"/>
  <c r="G87" i="2"/>
  <c r="G90"/>
  <c r="G99"/>
  <c r="G103"/>
  <c r="F87"/>
  <c r="F90"/>
  <c r="F99"/>
  <c r="F103"/>
  <c r="A1" i="4"/>
  <c r="A1" i="3"/>
  <c r="A1" i="2"/>
  <c r="C685" i="1"/>
  <c r="A685"/>
  <c r="A845"/>
  <c r="A844"/>
  <c r="A843"/>
  <c r="A842"/>
  <c r="C843"/>
  <c r="C844"/>
  <c r="C845"/>
  <c r="C842"/>
  <c r="F266"/>
  <c r="C1131"/>
  <c r="A1131"/>
  <c r="G1126"/>
  <c r="G1130"/>
  <c r="H1126"/>
  <c r="H1130"/>
  <c r="I1126"/>
  <c r="I1130"/>
  <c r="J1126"/>
  <c r="J1130"/>
  <c r="F1130"/>
  <c r="B1131"/>
  <c r="C458"/>
  <c r="C457"/>
  <c r="A457"/>
  <c r="A459"/>
  <c r="A458"/>
  <c r="A456"/>
  <c r="C459"/>
  <c r="C456"/>
  <c r="F466"/>
  <c r="A482" i="3"/>
  <c r="A1145" i="1"/>
  <c r="B432"/>
  <c r="B409"/>
  <c r="B388"/>
  <c r="B188"/>
  <c r="H84" i="2"/>
  <c r="G84"/>
  <c r="F84"/>
  <c r="G48"/>
  <c r="G16"/>
  <c r="G108"/>
  <c r="B108"/>
  <c r="A108"/>
  <c r="F94" i="3"/>
  <c r="C13"/>
  <c r="H82" i="2"/>
  <c r="B122"/>
  <c r="A262"/>
  <c r="A228"/>
  <c r="A204"/>
  <c r="A196"/>
  <c r="A197"/>
  <c r="A198"/>
  <c r="A190"/>
  <c r="A191"/>
  <c r="A192"/>
  <c r="A195"/>
  <c r="A189"/>
  <c r="A186"/>
  <c r="A182"/>
  <c r="A183"/>
  <c r="A200"/>
  <c r="A194"/>
  <c r="A188"/>
  <c r="A185"/>
  <c r="A181"/>
  <c r="A172"/>
  <c r="A173"/>
  <c r="A174"/>
  <c r="A168"/>
  <c r="A169"/>
  <c r="A163"/>
  <c r="A164"/>
  <c r="A165"/>
  <c r="A162"/>
  <c r="A176"/>
  <c r="A171"/>
  <c r="A167"/>
  <c r="A161"/>
  <c r="A159"/>
  <c r="A158"/>
  <c r="A147"/>
  <c r="A148"/>
  <c r="A149"/>
  <c r="A138"/>
  <c r="A139"/>
  <c r="A140"/>
  <c r="A141"/>
  <c r="A142"/>
  <c r="A153"/>
  <c r="A151"/>
  <c r="A146"/>
  <c r="A144"/>
  <c r="A137"/>
  <c r="A123"/>
  <c r="A124"/>
  <c r="A125"/>
  <c r="A126"/>
  <c r="A127"/>
  <c r="A128"/>
  <c r="A129"/>
  <c r="A130"/>
  <c r="A131"/>
  <c r="A122"/>
  <c r="A121"/>
  <c r="A118"/>
  <c r="A119"/>
  <c r="A117"/>
  <c r="A115"/>
  <c r="A114"/>
  <c r="A112"/>
  <c r="A111"/>
  <c r="A110"/>
  <c r="A106"/>
  <c r="A88"/>
  <c r="A89"/>
  <c r="A90"/>
  <c r="A91"/>
  <c r="A92"/>
  <c r="A93"/>
  <c r="A94"/>
  <c r="A95"/>
  <c r="A96"/>
  <c r="A97"/>
  <c r="A98"/>
  <c r="A99"/>
  <c r="A100"/>
  <c r="A101"/>
  <c r="A102"/>
  <c r="A103"/>
  <c r="A87"/>
  <c r="A86"/>
  <c r="A85"/>
  <c r="A84"/>
  <c r="A179"/>
  <c r="A156"/>
  <c r="A134"/>
  <c r="A82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50"/>
  <c r="A48"/>
  <c r="A40"/>
  <c r="A42"/>
  <c r="A43"/>
  <c r="A44"/>
  <c r="A45"/>
  <c r="A46"/>
  <c r="A41"/>
  <c r="A39"/>
  <c r="A38"/>
  <c r="A37"/>
  <c r="A30"/>
  <c r="A31"/>
  <c r="A32"/>
  <c r="A33"/>
  <c r="A34"/>
  <c r="A35"/>
  <c r="A36"/>
  <c r="A28"/>
  <c r="A29"/>
  <c r="A19"/>
  <c r="A20"/>
  <c r="A21"/>
  <c r="A22"/>
  <c r="A23"/>
  <c r="A24"/>
  <c r="A25"/>
  <c r="A26"/>
  <c r="A27"/>
  <c r="A18"/>
  <c r="C16"/>
  <c r="A16"/>
  <c r="A14"/>
  <c r="A12"/>
  <c r="B8"/>
  <c r="A8"/>
  <c r="A4"/>
  <c r="A2"/>
  <c r="J273"/>
  <c r="J279"/>
  <c r="J281"/>
  <c r="J298"/>
  <c r="J291"/>
  <c r="J300"/>
  <c r="J301"/>
  <c r="I273"/>
  <c r="I279"/>
  <c r="I281"/>
  <c r="I298"/>
  <c r="I291"/>
  <c r="I300"/>
  <c r="I301"/>
  <c r="H273"/>
  <c r="H279"/>
  <c r="H281"/>
  <c r="H298"/>
  <c r="H291"/>
  <c r="H300"/>
  <c r="H301"/>
  <c r="G273"/>
  <c r="G279"/>
  <c r="G281"/>
  <c r="G298"/>
  <c r="G291"/>
  <c r="G300"/>
  <c r="G301"/>
  <c r="F298"/>
  <c r="F291"/>
  <c r="F300"/>
  <c r="F273"/>
  <c r="F279"/>
  <c r="F281"/>
  <c r="F301"/>
  <c r="F239"/>
  <c r="F247"/>
  <c r="F256"/>
  <c r="F258"/>
  <c r="F225"/>
  <c r="G64"/>
  <c r="C250"/>
  <c r="A250"/>
  <c r="A183" i="3"/>
  <c r="A312"/>
  <c r="A300"/>
  <c r="C297" i="2"/>
  <c r="A297"/>
  <c r="C290"/>
  <c r="A290"/>
  <c r="C968" i="1"/>
  <c r="A968"/>
  <c r="C975"/>
  <c r="A975"/>
  <c r="M878"/>
  <c r="C878"/>
  <c r="A878"/>
  <c r="F262" i="2"/>
  <c r="F228"/>
  <c r="F204"/>
  <c r="F179"/>
  <c r="F156"/>
  <c r="F134"/>
  <c r="F106"/>
  <c r="C200"/>
  <c r="C198"/>
  <c r="C197"/>
  <c r="C196"/>
  <c r="C195"/>
  <c r="C192"/>
  <c r="C191"/>
  <c r="C190"/>
  <c r="C189"/>
  <c r="C186"/>
  <c r="C185"/>
  <c r="C183"/>
  <c r="C182"/>
  <c r="C181"/>
  <c r="H200"/>
  <c r="I200"/>
  <c r="J200"/>
  <c r="G200"/>
  <c r="M200"/>
  <c r="M196"/>
  <c r="M195"/>
  <c r="M190"/>
  <c r="M189"/>
  <c r="M185"/>
  <c r="G183"/>
  <c r="H183"/>
  <c r="I183"/>
  <c r="J183"/>
  <c r="F165"/>
  <c r="G60" i="4"/>
  <c r="H60"/>
  <c r="I60"/>
  <c r="J60"/>
  <c r="K60"/>
  <c r="L60"/>
  <c r="F60"/>
  <c r="A14" i="3"/>
  <c r="A13"/>
  <c r="A11"/>
  <c r="C9"/>
  <c r="C7"/>
  <c r="A9"/>
  <c r="A6"/>
  <c r="A4"/>
  <c r="A2"/>
  <c r="A87" i="4"/>
  <c r="A97"/>
  <c r="A96"/>
  <c r="A95"/>
  <c r="A94"/>
  <c r="A93"/>
  <c r="A92"/>
  <c r="A659" i="1"/>
  <c r="A652"/>
  <c r="A645"/>
  <c r="A657"/>
  <c r="A2" i="4"/>
  <c r="A59"/>
  <c r="A50"/>
  <c r="A22"/>
  <c r="A57"/>
  <c r="A56"/>
  <c r="A55"/>
  <c r="A54"/>
  <c r="A53"/>
  <c r="A52"/>
  <c r="A20"/>
  <c r="A19"/>
  <c r="A18"/>
  <c r="A17"/>
  <c r="A16"/>
  <c r="A15"/>
  <c r="A14"/>
  <c r="A13"/>
  <c r="A11"/>
  <c r="C8"/>
  <c r="B8"/>
  <c r="A6"/>
  <c r="A4"/>
  <c r="A60"/>
  <c r="A23"/>
  <c r="G23"/>
  <c r="H23"/>
  <c r="I23"/>
  <c r="J23"/>
  <c r="K23"/>
  <c r="L23"/>
  <c r="F23"/>
  <c r="A667" i="1"/>
  <c r="C666"/>
  <c r="A666"/>
  <c r="A9" i="4"/>
  <c r="F9"/>
  <c r="G9"/>
  <c r="H9"/>
  <c r="I9"/>
  <c r="J9"/>
  <c r="K9"/>
  <c r="L9"/>
  <c r="A337" i="1"/>
  <c r="A326"/>
  <c r="C306"/>
  <c r="A306"/>
  <c r="C337"/>
  <c r="C335"/>
  <c r="C326"/>
  <c r="C123"/>
  <c r="C196"/>
  <c r="B560"/>
  <c r="B548"/>
  <c r="F478"/>
  <c r="A455"/>
  <c r="A454"/>
  <c r="A453"/>
  <c r="A452"/>
  <c r="A451"/>
  <c r="A450"/>
  <c r="D122" i="2"/>
  <c r="C122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59"/>
  <c r="C251"/>
  <c r="C252"/>
  <c r="C253"/>
  <c r="C254"/>
  <c r="C242"/>
  <c r="C243"/>
  <c r="C244"/>
  <c r="C245"/>
  <c r="C231"/>
  <c r="C232"/>
  <c r="C233"/>
  <c r="C234"/>
  <c r="C235"/>
  <c r="C236"/>
  <c r="C237"/>
  <c r="C296"/>
  <c r="C298"/>
  <c r="C284"/>
  <c r="C285"/>
  <c r="C286"/>
  <c r="C287"/>
  <c r="C288"/>
  <c r="C289"/>
  <c r="C291"/>
  <c r="C276"/>
  <c r="C277"/>
  <c r="C278"/>
  <c r="C279"/>
  <c r="C265"/>
  <c r="C266"/>
  <c r="C267"/>
  <c r="C268"/>
  <c r="C269"/>
  <c r="C270"/>
  <c r="C271"/>
  <c r="C272"/>
  <c r="C273"/>
  <c r="C300"/>
  <c r="C295"/>
  <c r="C293"/>
  <c r="C283"/>
  <c r="C281"/>
  <c r="C275"/>
  <c r="C264"/>
  <c r="C258"/>
  <c r="C256"/>
  <c r="C249"/>
  <c r="C247"/>
  <c r="C241"/>
  <c r="C239"/>
  <c r="C230"/>
  <c r="C206"/>
  <c r="C147"/>
  <c r="C148"/>
  <c r="C149"/>
  <c r="C153"/>
  <c r="C151"/>
  <c r="C146"/>
  <c r="C144"/>
  <c r="C138"/>
  <c r="C139"/>
  <c r="C140"/>
  <c r="C141"/>
  <c r="C142"/>
  <c r="C137"/>
  <c r="H87"/>
  <c r="H90"/>
  <c r="H91"/>
  <c r="H92"/>
  <c r="H94"/>
  <c r="H99"/>
  <c r="H100"/>
  <c r="H101"/>
  <c r="H103"/>
  <c r="C128"/>
  <c r="C129"/>
  <c r="G14"/>
  <c r="G26"/>
  <c r="G45"/>
  <c r="G46"/>
  <c r="G59"/>
  <c r="G78"/>
  <c r="G79"/>
  <c r="C115"/>
  <c r="C131"/>
  <c r="C124"/>
  <c r="C125"/>
  <c r="C126"/>
  <c r="C127"/>
  <c r="C130"/>
  <c r="C123"/>
  <c r="C121"/>
  <c r="C114"/>
  <c r="M106"/>
  <c r="M156"/>
  <c r="M179"/>
  <c r="M228"/>
  <c r="M204"/>
  <c r="A301"/>
  <c r="A300"/>
  <c r="A298"/>
  <c r="A296"/>
  <c r="A295"/>
  <c r="A293"/>
  <c r="A291"/>
  <c r="A289"/>
  <c r="A288"/>
  <c r="A287"/>
  <c r="A286"/>
  <c r="A285"/>
  <c r="A284"/>
  <c r="A283"/>
  <c r="A281"/>
  <c r="A279"/>
  <c r="A278"/>
  <c r="A277"/>
  <c r="A276"/>
  <c r="A275"/>
  <c r="A273"/>
  <c r="A272"/>
  <c r="A271"/>
  <c r="A270"/>
  <c r="A269"/>
  <c r="A268"/>
  <c r="A267"/>
  <c r="A266"/>
  <c r="A265"/>
  <c r="A264"/>
  <c r="A259"/>
  <c r="A258"/>
  <c r="A256"/>
  <c r="A254"/>
  <c r="A253"/>
  <c r="A252"/>
  <c r="A251"/>
  <c r="A249"/>
  <c r="A247"/>
  <c r="A245"/>
  <c r="A244"/>
  <c r="A243"/>
  <c r="A242"/>
  <c r="A241"/>
  <c r="A239"/>
  <c r="A237"/>
  <c r="A236"/>
  <c r="A235"/>
  <c r="A234"/>
  <c r="A233"/>
  <c r="A232"/>
  <c r="A231"/>
  <c r="A230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J262"/>
  <c r="I262"/>
  <c r="H262"/>
  <c r="G262"/>
  <c r="F86" i="1"/>
  <c r="J228" i="2"/>
  <c r="I228"/>
  <c r="H228"/>
  <c r="G228"/>
  <c r="J204"/>
  <c r="I204"/>
  <c r="H204"/>
  <c r="G204"/>
  <c r="J179"/>
  <c r="I179"/>
  <c r="H179"/>
  <c r="G179"/>
  <c r="C655" i="1"/>
  <c r="G372" i="3"/>
  <c r="G568"/>
  <c r="M543"/>
  <c r="B556"/>
  <c r="A568"/>
  <c r="C566"/>
  <c r="A566"/>
  <c r="C565"/>
  <c r="A565"/>
  <c r="C564"/>
  <c r="A564"/>
  <c r="C562"/>
  <c r="A562"/>
  <c r="C559"/>
  <c r="A559"/>
  <c r="A558"/>
  <c r="C557"/>
  <c r="A557"/>
  <c r="A556"/>
  <c r="C553"/>
  <c r="A553"/>
  <c r="C552"/>
  <c r="A552"/>
  <c r="C549"/>
  <c r="A549"/>
  <c r="C548"/>
  <c r="A548"/>
  <c r="C547"/>
  <c r="A547"/>
  <c r="C546"/>
  <c r="A546"/>
  <c r="C545"/>
  <c r="A545"/>
  <c r="J543"/>
  <c r="I543"/>
  <c r="H543"/>
  <c r="G543"/>
  <c r="F543"/>
  <c r="C667" i="1"/>
  <c r="G661"/>
  <c r="G662"/>
  <c r="H661"/>
  <c r="H662"/>
  <c r="I661"/>
  <c r="I662"/>
  <c r="J661"/>
  <c r="J662"/>
  <c r="F664"/>
  <c r="F661"/>
  <c r="F662"/>
  <c r="G654"/>
  <c r="H654"/>
  <c r="I654"/>
  <c r="J654"/>
  <c r="G655"/>
  <c r="H655"/>
  <c r="I655"/>
  <c r="J655"/>
  <c r="G656"/>
  <c r="H656"/>
  <c r="I656"/>
  <c r="J656"/>
  <c r="M657"/>
  <c r="F656"/>
  <c r="F655"/>
  <c r="M655"/>
  <c r="F654"/>
  <c r="G652"/>
  <c r="H652"/>
  <c r="I652"/>
  <c r="J652"/>
  <c r="F652"/>
  <c r="G647"/>
  <c r="G648"/>
  <c r="G649"/>
  <c r="H647"/>
  <c r="H648"/>
  <c r="H649"/>
  <c r="I647"/>
  <c r="I648"/>
  <c r="I649"/>
  <c r="J647"/>
  <c r="J648"/>
  <c r="J649"/>
  <c r="F647"/>
  <c r="F648"/>
  <c r="F649"/>
  <c r="F650"/>
  <c r="F645"/>
  <c r="C648"/>
  <c r="C649"/>
  <c r="C650"/>
  <c r="C656"/>
  <c r="C657"/>
  <c r="C663"/>
  <c r="C662"/>
  <c r="C664"/>
  <c r="C661"/>
  <c r="C659"/>
  <c r="C654"/>
  <c r="C652"/>
  <c r="C647"/>
  <c r="C645"/>
  <c r="A662"/>
  <c r="A664"/>
  <c r="A663"/>
  <c r="A661"/>
  <c r="A655"/>
  <c r="A656"/>
  <c r="A654"/>
  <c r="A650"/>
  <c r="A649"/>
  <c r="A648"/>
  <c r="A647"/>
  <c r="A643"/>
  <c r="A605"/>
  <c r="M643"/>
  <c r="J643"/>
  <c r="I643"/>
  <c r="H643"/>
  <c r="G643"/>
  <c r="F643"/>
  <c r="M605"/>
  <c r="C607"/>
  <c r="C605"/>
  <c r="C596"/>
  <c r="A9" i="2"/>
  <c r="A492" i="3"/>
  <c r="A425"/>
  <c r="A400"/>
  <c r="A375"/>
  <c r="A224"/>
  <c r="A199"/>
  <c r="A121"/>
  <c r="A96"/>
  <c r="M11"/>
  <c r="M451"/>
  <c r="A318"/>
  <c r="A320"/>
  <c r="C520"/>
  <c r="C540"/>
  <c r="A540"/>
  <c r="A538"/>
  <c r="A537"/>
  <c r="A536"/>
  <c r="A535"/>
  <c r="A534"/>
  <c r="C533"/>
  <c r="B533"/>
  <c r="A532"/>
  <c r="C530"/>
  <c r="A530"/>
  <c r="C529"/>
  <c r="A529"/>
  <c r="C528"/>
  <c r="A528"/>
  <c r="C527"/>
  <c r="A527"/>
  <c r="A523"/>
  <c r="A522"/>
  <c r="A521"/>
  <c r="A520"/>
  <c r="A518"/>
  <c r="J518"/>
  <c r="I518"/>
  <c r="H518"/>
  <c r="G518"/>
  <c r="F518"/>
  <c r="A490"/>
  <c r="A489"/>
  <c r="A488"/>
  <c r="A486"/>
  <c r="A485"/>
  <c r="A484"/>
  <c r="A481"/>
  <c r="A480"/>
  <c r="C479"/>
  <c r="A479"/>
  <c r="A477"/>
  <c r="A475"/>
  <c r="C473"/>
  <c r="A473"/>
  <c r="C472"/>
  <c r="A472"/>
  <c r="C471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A462"/>
  <c r="C461"/>
  <c r="B461"/>
  <c r="A461"/>
  <c r="B460"/>
  <c r="A460"/>
  <c r="A458"/>
  <c r="A457"/>
  <c r="A456"/>
  <c r="A455"/>
  <c r="C453"/>
  <c r="A453"/>
  <c r="A451"/>
  <c r="J451"/>
  <c r="I451"/>
  <c r="H451"/>
  <c r="G451"/>
  <c r="F451"/>
  <c r="C373"/>
  <c r="A373"/>
  <c r="C372"/>
  <c r="A372"/>
  <c r="A371"/>
  <c r="C370"/>
  <c r="A370"/>
  <c r="C369"/>
  <c r="A369"/>
  <c r="C367"/>
  <c r="A367"/>
  <c r="C366"/>
  <c r="A366"/>
  <c r="C365"/>
  <c r="A365"/>
  <c r="C364"/>
  <c r="A364"/>
  <c r="C362"/>
  <c r="A362"/>
  <c r="C361"/>
  <c r="A361"/>
  <c r="C359"/>
  <c r="A359"/>
  <c r="C358"/>
  <c r="A358"/>
  <c r="C357"/>
  <c r="A357"/>
  <c r="A355"/>
  <c r="A354"/>
  <c r="A352"/>
  <c r="A351"/>
  <c r="A350"/>
  <c r="A349"/>
  <c r="A348"/>
  <c r="A346"/>
  <c r="J346"/>
  <c r="I346"/>
  <c r="H346"/>
  <c r="G346"/>
  <c r="F346"/>
  <c r="A317"/>
  <c r="A315"/>
  <c r="A310"/>
  <c r="A308"/>
  <c r="A305"/>
  <c r="A303"/>
  <c r="A298"/>
  <c r="A296"/>
  <c r="A294"/>
  <c r="A292"/>
  <c r="A290"/>
  <c r="A288"/>
  <c r="A286"/>
  <c r="A284"/>
  <c r="A282"/>
  <c r="A279"/>
  <c r="A277"/>
  <c r="A275"/>
  <c r="A273"/>
  <c r="A271"/>
  <c r="A268"/>
  <c r="A266"/>
  <c r="A264"/>
  <c r="A262"/>
  <c r="A260"/>
  <c r="A258"/>
  <c r="A256"/>
  <c r="A254"/>
  <c r="A252"/>
  <c r="A250"/>
  <c r="J250"/>
  <c r="I250"/>
  <c r="H250"/>
  <c r="G250"/>
  <c r="F250"/>
  <c r="A197"/>
  <c r="A196"/>
  <c r="A194"/>
  <c r="A191"/>
  <c r="A189"/>
  <c r="A187"/>
  <c r="A185"/>
  <c r="A181"/>
  <c r="A179"/>
  <c r="A176"/>
  <c r="A174"/>
  <c r="A172"/>
  <c r="A170"/>
  <c r="A168"/>
  <c r="A166"/>
  <c r="A163"/>
  <c r="A161"/>
  <c r="A159"/>
  <c r="A157"/>
  <c r="A155"/>
  <c r="A153"/>
  <c r="A151"/>
  <c r="A149"/>
  <c r="M147"/>
  <c r="M47"/>
  <c r="A147"/>
  <c r="J147"/>
  <c r="I147"/>
  <c r="H147"/>
  <c r="G147"/>
  <c r="F147"/>
  <c r="A39"/>
  <c r="A37"/>
  <c r="A35"/>
  <c r="A43"/>
  <c r="A41"/>
  <c r="A33"/>
  <c r="C14"/>
  <c r="A30"/>
  <c r="A20"/>
  <c r="A18"/>
  <c r="A16"/>
  <c r="A28"/>
  <c r="A26"/>
  <c r="A24"/>
  <c r="A22"/>
  <c r="J11"/>
  <c r="I11"/>
  <c r="H11"/>
  <c r="G11"/>
  <c r="F11"/>
  <c r="A94"/>
  <c r="A92"/>
  <c r="A90"/>
  <c r="A88"/>
  <c r="A86"/>
  <c r="A84"/>
  <c r="A82"/>
  <c r="A80"/>
  <c r="A78"/>
  <c r="A76"/>
  <c r="A74"/>
  <c r="A72"/>
  <c r="A70"/>
  <c r="A68"/>
  <c r="A66"/>
  <c r="A64"/>
  <c r="A62"/>
  <c r="A60"/>
  <c r="A58"/>
  <c r="A56"/>
  <c r="A54"/>
  <c r="A52"/>
  <c r="A50"/>
  <c r="A47"/>
  <c r="A93"/>
  <c r="A91"/>
  <c r="A89"/>
  <c r="A87"/>
  <c r="A85"/>
  <c r="A83"/>
  <c r="A81"/>
  <c r="A79"/>
  <c r="A77"/>
  <c r="A75"/>
  <c r="A73"/>
  <c r="A71"/>
  <c r="A69"/>
  <c r="A67"/>
  <c r="A65"/>
  <c r="A63"/>
  <c r="A61"/>
  <c r="A59"/>
  <c r="A57"/>
  <c r="A55"/>
  <c r="A53"/>
  <c r="A51"/>
  <c r="A49"/>
  <c r="J47"/>
  <c r="I47"/>
  <c r="H47"/>
  <c r="G47"/>
  <c r="F47"/>
  <c r="A1219" i="1"/>
  <c r="A1218"/>
  <c r="A1221"/>
  <c r="J156" i="2"/>
  <c r="I156"/>
  <c r="H156"/>
  <c r="G156"/>
  <c r="J134"/>
  <c r="I134"/>
  <c r="H134"/>
  <c r="G134"/>
  <c r="J106"/>
  <c r="I106"/>
  <c r="H106"/>
  <c r="G106"/>
  <c r="C640" i="1"/>
  <c r="A607"/>
  <c r="A640"/>
  <c r="B603"/>
  <c r="C851"/>
  <c r="C850"/>
  <c r="C849"/>
  <c r="A850"/>
  <c r="F109"/>
  <c r="C572"/>
  <c r="C573"/>
  <c r="A575"/>
  <c r="A574"/>
  <c r="A573"/>
  <c r="A572"/>
  <c r="A571"/>
  <c r="C575"/>
  <c r="C583"/>
  <c r="A1247"/>
  <c r="A1252"/>
  <c r="A1251"/>
  <c r="A1250"/>
  <c r="A1246"/>
  <c r="A1244"/>
  <c r="A1243"/>
  <c r="A1241"/>
  <c r="A1239"/>
  <c r="A1238"/>
  <c r="A1237"/>
  <c r="A1236"/>
  <c r="A1235"/>
  <c r="A1234"/>
  <c r="A1233"/>
  <c r="A1232"/>
  <c r="A1231"/>
  <c r="A1230"/>
  <c r="A1226"/>
  <c r="A1224"/>
  <c r="A1223"/>
  <c r="A1217"/>
  <c r="A1216"/>
  <c r="A1215"/>
  <c r="A1214"/>
  <c r="A1213"/>
  <c r="A1212"/>
  <c r="A1211"/>
  <c r="A1210"/>
  <c r="C1209"/>
  <c r="B1209"/>
  <c r="A1208"/>
  <c r="C1252"/>
  <c r="C1251"/>
  <c r="C1244"/>
  <c r="C1243"/>
  <c r="C1237"/>
  <c r="C1238"/>
  <c r="C1239"/>
  <c r="C1232"/>
  <c r="C1233"/>
  <c r="C1234"/>
  <c r="C1236"/>
  <c r="C1231"/>
  <c r="C1224"/>
  <c r="C1223"/>
  <c r="A1280"/>
  <c r="A1278"/>
  <c r="A1277"/>
  <c r="A1276"/>
  <c r="A1274"/>
  <c r="A1271"/>
  <c r="A1270"/>
  <c r="A1269"/>
  <c r="A1268"/>
  <c r="A1265"/>
  <c r="A1264"/>
  <c r="A1261"/>
  <c r="A1260"/>
  <c r="A1259"/>
  <c r="A1258"/>
  <c r="A1257"/>
  <c r="A1255"/>
  <c r="A1203"/>
  <c r="A1201"/>
  <c r="A1200"/>
  <c r="A1199"/>
  <c r="A1198"/>
  <c r="A1197"/>
  <c r="C1196"/>
  <c r="B1196"/>
  <c r="A1195"/>
  <c r="A1193"/>
  <c r="A1192"/>
  <c r="A1191"/>
  <c r="A1190"/>
  <c r="A1186"/>
  <c r="A1185"/>
  <c r="A1184"/>
  <c r="A1183"/>
  <c r="A1181"/>
  <c r="A1155"/>
  <c r="A1153"/>
  <c r="A1152"/>
  <c r="F1127"/>
  <c r="F1128"/>
  <c r="G1127"/>
  <c r="G1128"/>
  <c r="H1127"/>
  <c r="H1128"/>
  <c r="I1127"/>
  <c r="I1128"/>
  <c r="J1127"/>
  <c r="J1128"/>
  <c r="A1151"/>
  <c r="A1149"/>
  <c r="A1148"/>
  <c r="A1147"/>
  <c r="A1144"/>
  <c r="A1143"/>
  <c r="A1142"/>
  <c r="A1140"/>
  <c r="A1138"/>
  <c r="A1136"/>
  <c r="A1135"/>
  <c r="B1130"/>
  <c r="A1130"/>
  <c r="B1129"/>
  <c r="A1129"/>
  <c r="B1128"/>
  <c r="A1128"/>
  <c r="B1127"/>
  <c r="A1127"/>
  <c r="B1126"/>
  <c r="A1126"/>
  <c r="B1125"/>
  <c r="A1125"/>
  <c r="B1124"/>
  <c r="A1124"/>
  <c r="B1123"/>
  <c r="A1123"/>
  <c r="B1122"/>
  <c r="A1122"/>
  <c r="A1120"/>
  <c r="A1119"/>
  <c r="A1118"/>
  <c r="A1117"/>
  <c r="C1114"/>
  <c r="A1114"/>
  <c r="A1112"/>
  <c r="C1034"/>
  <c r="A1034"/>
  <c r="C1033"/>
  <c r="A1033"/>
  <c r="A1032"/>
  <c r="C1031"/>
  <c r="A1031"/>
  <c r="C1030"/>
  <c r="A1030"/>
  <c r="A1028"/>
  <c r="C1027"/>
  <c r="A1027"/>
  <c r="C1026"/>
  <c r="A1026"/>
  <c r="C1025"/>
  <c r="A1025"/>
  <c r="C1023"/>
  <c r="A1023"/>
  <c r="C1022"/>
  <c r="A1022"/>
  <c r="C1020"/>
  <c r="A1020"/>
  <c r="C1019"/>
  <c r="A1019"/>
  <c r="C1018"/>
  <c r="A1018"/>
  <c r="A1016"/>
  <c r="A1015"/>
  <c r="A1013"/>
  <c r="A1012"/>
  <c r="A1011"/>
  <c r="A1010"/>
  <c r="A1009"/>
  <c r="A1007"/>
  <c r="A979"/>
  <c r="A978"/>
  <c r="A976"/>
  <c r="A974"/>
  <c r="A973"/>
  <c r="A971"/>
  <c r="A969"/>
  <c r="A967"/>
  <c r="A966"/>
  <c r="A965"/>
  <c r="A964"/>
  <c r="A963"/>
  <c r="A962"/>
  <c r="A961"/>
  <c r="A959"/>
  <c r="A957"/>
  <c r="A956"/>
  <c r="A955"/>
  <c r="A954"/>
  <c r="A953"/>
  <c r="A951"/>
  <c r="A950"/>
  <c r="A949"/>
  <c r="A948"/>
  <c r="A947"/>
  <c r="A946"/>
  <c r="A945"/>
  <c r="A944"/>
  <c r="A943"/>
  <c r="A942"/>
  <c r="A940"/>
  <c r="A887"/>
  <c r="A886"/>
  <c r="A884"/>
  <c r="A882"/>
  <c r="A881"/>
  <c r="A880"/>
  <c r="A879"/>
  <c r="A877"/>
  <c r="A875"/>
  <c r="A873"/>
  <c r="A872"/>
  <c r="A871"/>
  <c r="A870"/>
  <c r="A869"/>
  <c r="A867"/>
  <c r="A865"/>
  <c r="A864"/>
  <c r="A863"/>
  <c r="A862"/>
  <c r="A861"/>
  <c r="A860"/>
  <c r="A859"/>
  <c r="A858"/>
  <c r="A856"/>
  <c r="A853"/>
  <c r="A852"/>
  <c r="A851"/>
  <c r="A849"/>
  <c r="A847"/>
  <c r="A840"/>
  <c r="A839"/>
  <c r="A838"/>
  <c r="A837"/>
  <c r="A836"/>
  <c r="A834"/>
  <c r="A832"/>
  <c r="A831"/>
  <c r="A830"/>
  <c r="A829"/>
  <c r="A827"/>
  <c r="A799"/>
  <c r="A774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8"/>
  <c r="A745"/>
  <c r="A740"/>
  <c r="A739"/>
  <c r="A738"/>
  <c r="A737"/>
  <c r="A736"/>
  <c r="C735"/>
  <c r="A735"/>
  <c r="A734"/>
  <c r="A732"/>
  <c r="C730"/>
  <c r="A730"/>
  <c r="A729"/>
  <c r="A728"/>
  <c r="A726"/>
  <c r="C725"/>
  <c r="A725"/>
  <c r="A724"/>
  <c r="A723"/>
  <c r="A722"/>
  <c r="A721"/>
  <c r="A719"/>
  <c r="C717"/>
  <c r="A717"/>
  <c r="A716"/>
  <c r="A715"/>
  <c r="C713"/>
  <c r="A713"/>
  <c r="A712"/>
  <c r="A711"/>
  <c r="A710"/>
  <c r="C709"/>
  <c r="A709"/>
  <c r="A708"/>
  <c r="A707"/>
  <c r="A706"/>
  <c r="C705"/>
  <c r="A705"/>
  <c r="A704"/>
  <c r="A703"/>
  <c r="C702"/>
  <c r="A702"/>
  <c r="A701"/>
  <c r="A700"/>
  <c r="A699"/>
  <c r="A697"/>
  <c r="A695"/>
  <c r="A694"/>
  <c r="A693"/>
  <c r="A692"/>
  <c r="A691"/>
  <c r="A690"/>
  <c r="A689"/>
  <c r="A688"/>
  <c r="A687"/>
  <c r="A686"/>
  <c r="A684"/>
  <c r="A683"/>
  <c r="A682"/>
  <c r="C681"/>
  <c r="A681"/>
  <c r="C680"/>
  <c r="A680"/>
  <c r="C679"/>
  <c r="A679"/>
  <c r="A678"/>
  <c r="A676"/>
  <c r="A674"/>
  <c r="A673"/>
  <c r="B672"/>
  <c r="A670"/>
  <c r="A637"/>
  <c r="A636"/>
  <c r="A635"/>
  <c r="A632"/>
  <c r="A631"/>
  <c r="A630"/>
  <c r="A629"/>
  <c r="A623"/>
  <c r="A622"/>
  <c r="A621"/>
  <c r="A620"/>
  <c r="A618"/>
  <c r="A616"/>
  <c r="A615"/>
  <c r="A614"/>
  <c r="A613"/>
  <c r="A610"/>
  <c r="A603"/>
  <c r="B597"/>
  <c r="A596"/>
  <c r="A591"/>
  <c r="A590"/>
  <c r="A589"/>
  <c r="A588"/>
  <c r="A587"/>
  <c r="A586"/>
  <c r="A584"/>
  <c r="A583"/>
  <c r="A582"/>
  <c r="A581"/>
  <c r="A579"/>
  <c r="A578"/>
  <c r="A577"/>
  <c r="A570"/>
  <c r="A568"/>
  <c r="A567"/>
  <c r="A566"/>
  <c r="A565"/>
  <c r="A564"/>
  <c r="A563"/>
  <c r="A562"/>
  <c r="A561"/>
  <c r="A560"/>
  <c r="C559"/>
  <c r="B559"/>
  <c r="A559"/>
  <c r="A558"/>
  <c r="A556"/>
  <c r="A555"/>
  <c r="A554"/>
  <c r="A553"/>
  <c r="A552"/>
  <c r="A551"/>
  <c r="A550"/>
  <c r="A549"/>
  <c r="A548"/>
  <c r="C547"/>
  <c r="B547"/>
  <c r="A547"/>
  <c r="A546"/>
  <c r="A544"/>
  <c r="A543"/>
  <c r="A542"/>
  <c r="A541"/>
  <c r="A540"/>
  <c r="A539"/>
  <c r="A538"/>
  <c r="A537"/>
  <c r="A536"/>
  <c r="A535"/>
  <c r="A534"/>
  <c r="A310"/>
  <c r="A309"/>
  <c r="A308"/>
  <c r="A307"/>
  <c r="B10"/>
  <c r="B8"/>
  <c r="C737"/>
  <c r="C738"/>
  <c r="C739"/>
  <c r="C740"/>
  <c r="C536"/>
  <c r="C584"/>
  <c r="C579"/>
  <c r="C544"/>
  <c r="C543"/>
  <c r="C542"/>
  <c r="C540"/>
  <c r="C538"/>
  <c r="C537"/>
  <c r="M1255"/>
  <c r="M1206"/>
  <c r="M1181"/>
  <c r="M1112"/>
  <c r="M856"/>
  <c r="M825"/>
  <c r="M748"/>
  <c r="M670"/>
  <c r="C613"/>
  <c r="M610"/>
  <c r="M594"/>
  <c r="M532"/>
  <c r="A529"/>
  <c r="A528"/>
  <c r="A527"/>
  <c r="A526"/>
  <c r="A525"/>
  <c r="A524"/>
  <c r="A523"/>
  <c r="A522"/>
  <c r="A521"/>
  <c r="A520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C501"/>
  <c r="A501"/>
  <c r="M498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48"/>
  <c r="A447"/>
  <c r="A446"/>
  <c r="A445"/>
  <c r="A444"/>
  <c r="C443"/>
  <c r="A443"/>
  <c r="A442"/>
  <c r="A441"/>
  <c r="A440"/>
  <c r="A439"/>
  <c r="A438"/>
  <c r="C437"/>
  <c r="A437"/>
  <c r="A436"/>
  <c r="A435"/>
  <c r="A434"/>
  <c r="A432"/>
  <c r="A430"/>
  <c r="A429"/>
  <c r="A428"/>
  <c r="A427"/>
  <c r="A426"/>
  <c r="A425"/>
  <c r="A424"/>
  <c r="A423"/>
  <c r="C422"/>
  <c r="A422"/>
  <c r="A421"/>
  <c r="A420"/>
  <c r="A419"/>
  <c r="A418"/>
  <c r="A417"/>
  <c r="A416"/>
  <c r="C415"/>
  <c r="A415"/>
  <c r="C414"/>
  <c r="A414"/>
  <c r="A413"/>
  <c r="A412"/>
  <c r="A411"/>
  <c r="A409"/>
  <c r="A407"/>
  <c r="A406"/>
  <c r="A405"/>
  <c r="A404"/>
  <c r="A403"/>
  <c r="A402"/>
  <c r="A401"/>
  <c r="A400"/>
  <c r="C399"/>
  <c r="A399"/>
  <c r="A398"/>
  <c r="A397"/>
  <c r="A396"/>
  <c r="A395"/>
  <c r="A394"/>
  <c r="C393"/>
  <c r="A393"/>
  <c r="A392"/>
  <c r="A391"/>
  <c r="A390"/>
  <c r="A388"/>
  <c r="M386"/>
  <c r="A386"/>
  <c r="A383"/>
  <c r="A382"/>
  <c r="A381"/>
  <c r="A380"/>
  <c r="A379"/>
  <c r="A378"/>
  <c r="A377"/>
  <c r="A376"/>
  <c r="A375"/>
  <c r="A360"/>
  <c r="A359"/>
  <c r="A357"/>
  <c r="B355"/>
  <c r="A351"/>
  <c r="A349"/>
  <c r="B347"/>
  <c r="A343"/>
  <c r="A341"/>
  <c r="B339"/>
  <c r="A333"/>
  <c r="A331"/>
  <c r="B329"/>
  <c r="A324"/>
  <c r="M322"/>
  <c r="A322"/>
  <c r="C319"/>
  <c r="A319"/>
  <c r="A305"/>
  <c r="A303"/>
  <c r="C302"/>
  <c r="A302"/>
  <c r="A299"/>
  <c r="A297"/>
  <c r="C296"/>
  <c r="A296"/>
  <c r="A293"/>
  <c r="A291"/>
  <c r="C290"/>
  <c r="A290"/>
  <c r="A287"/>
  <c r="A285"/>
  <c r="C284"/>
  <c r="A284"/>
  <c r="C282"/>
  <c r="B282"/>
  <c r="A279"/>
  <c r="M277"/>
  <c r="A277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27"/>
  <c r="A226"/>
  <c r="A225"/>
  <c r="A224"/>
  <c r="A223"/>
  <c r="A222"/>
  <c r="A221"/>
  <c r="A220"/>
  <c r="A219"/>
  <c r="C218"/>
  <c r="B218"/>
  <c r="A218"/>
  <c r="A217"/>
  <c r="A216"/>
  <c r="A215"/>
  <c r="A214"/>
  <c r="A213"/>
  <c r="A212"/>
  <c r="A211"/>
  <c r="A210"/>
  <c r="A209"/>
  <c r="A208"/>
  <c r="A207"/>
  <c r="A206"/>
  <c r="A205"/>
  <c r="A204"/>
  <c r="M201"/>
  <c r="A201"/>
  <c r="M194"/>
  <c r="M187"/>
  <c r="A187"/>
  <c r="A184"/>
  <c r="A183"/>
  <c r="A182"/>
  <c r="A181"/>
  <c r="A180"/>
  <c r="A179"/>
  <c r="A178"/>
  <c r="A177"/>
  <c r="A176"/>
  <c r="A175"/>
  <c r="A174"/>
  <c r="A173"/>
  <c r="A172"/>
  <c r="A157"/>
  <c r="A156"/>
  <c r="A155"/>
  <c r="A154"/>
  <c r="A153"/>
  <c r="A152"/>
  <c r="A151"/>
  <c r="A150"/>
  <c r="A149"/>
  <c r="C148"/>
  <c r="B148"/>
  <c r="A148"/>
  <c r="A147"/>
  <c r="A146"/>
  <c r="M143"/>
  <c r="A143"/>
  <c r="A134"/>
  <c r="A133"/>
  <c r="A132"/>
  <c r="C131"/>
  <c r="B131"/>
  <c r="A131"/>
  <c r="B129"/>
  <c r="A128"/>
  <c r="M121"/>
  <c r="A121"/>
  <c r="A118"/>
  <c r="B114"/>
  <c r="M113"/>
  <c r="A113"/>
  <c r="A110"/>
  <c r="A109"/>
  <c r="A108"/>
  <c r="A107"/>
  <c r="A106"/>
  <c r="A102"/>
  <c r="A101"/>
  <c r="A100"/>
  <c r="A97"/>
  <c r="A96"/>
  <c r="A92"/>
  <c r="A91"/>
  <c r="A90"/>
  <c r="G88"/>
  <c r="B88"/>
  <c r="A88"/>
  <c r="A30"/>
  <c r="A29"/>
  <c r="A28"/>
  <c r="A27"/>
  <c r="A26"/>
  <c r="A25"/>
  <c r="A11"/>
  <c r="A10"/>
  <c r="E9"/>
  <c r="B9"/>
  <c r="A9"/>
  <c r="A8"/>
  <c r="A7"/>
  <c r="A4"/>
  <c r="G1278"/>
  <c r="H1278"/>
  <c r="I1278"/>
  <c r="J1278"/>
  <c r="F1278"/>
  <c r="F1277"/>
  <c r="G1277"/>
  <c r="H1277"/>
  <c r="I1277"/>
  <c r="J1277"/>
  <c r="F1276"/>
  <c r="G1276"/>
  <c r="H1276"/>
  <c r="I1276"/>
  <c r="J1276"/>
  <c r="F1265"/>
  <c r="F1264"/>
  <c r="G1264"/>
  <c r="H1264"/>
  <c r="I1264"/>
  <c r="J1264"/>
  <c r="G1033"/>
  <c r="G1280"/>
  <c r="C1269"/>
  <c r="B1268"/>
  <c r="C1278"/>
  <c r="C1277"/>
  <c r="C1276"/>
  <c r="C1274"/>
  <c r="C1265"/>
  <c r="C1264"/>
  <c r="C1258"/>
  <c r="C1259"/>
  <c r="C1260"/>
  <c r="C1261"/>
  <c r="C1257"/>
  <c r="C1183"/>
  <c r="C1193"/>
  <c r="C1192"/>
  <c r="C1191"/>
  <c r="C1142"/>
  <c r="C1136"/>
  <c r="C1134"/>
  <c r="C1130"/>
  <c r="C1129"/>
  <c r="C1128"/>
  <c r="C1127"/>
  <c r="C1126"/>
  <c r="C1125"/>
  <c r="C1124"/>
  <c r="C1123"/>
  <c r="C1190"/>
  <c r="C1203"/>
  <c r="J1181"/>
  <c r="I1181"/>
  <c r="H1181"/>
  <c r="G1181"/>
  <c r="F1181"/>
  <c r="C1028"/>
  <c r="C503"/>
  <c r="C863"/>
  <c r="G512"/>
  <c r="H512"/>
  <c r="I512"/>
  <c r="J512"/>
  <c r="F512"/>
  <c r="G513"/>
  <c r="H513"/>
  <c r="I513"/>
  <c r="J513"/>
  <c r="G515"/>
  <c r="H515"/>
  <c r="I515"/>
  <c r="J515"/>
  <c r="F513"/>
  <c r="F507"/>
  <c r="C630"/>
  <c r="C635"/>
  <c r="C636"/>
  <c r="C637"/>
  <c r="C631"/>
  <c r="C632"/>
  <c r="C629"/>
  <c r="C623"/>
  <c r="C621"/>
  <c r="C620"/>
  <c r="C618"/>
  <c r="M619"/>
  <c r="M618"/>
  <c r="C616"/>
  <c r="C689"/>
  <c r="C756"/>
  <c r="G525"/>
  <c r="H525"/>
  <c r="I525"/>
  <c r="J525"/>
  <c r="G526"/>
  <c r="H526"/>
  <c r="I526"/>
  <c r="J526"/>
  <c r="G527"/>
  <c r="H527"/>
  <c r="I527"/>
  <c r="J527"/>
  <c r="F529"/>
  <c r="F515"/>
  <c r="F527"/>
  <c r="F526"/>
  <c r="F525"/>
  <c r="C521"/>
  <c r="C522"/>
  <c r="C523"/>
  <c r="C524"/>
  <c r="C525"/>
  <c r="C526"/>
  <c r="C527"/>
  <c r="C528"/>
  <c r="C529"/>
  <c r="C520"/>
  <c r="C511"/>
  <c r="C512"/>
  <c r="C513"/>
  <c r="C514"/>
  <c r="C515"/>
  <c r="C516"/>
  <c r="C517"/>
  <c r="C518"/>
  <c r="C510"/>
  <c r="C509"/>
  <c r="C508"/>
  <c r="C504"/>
  <c r="M596"/>
  <c r="M601"/>
  <c r="B601"/>
  <c r="M600"/>
  <c r="B600"/>
  <c r="M599"/>
  <c r="B599"/>
  <c r="M598"/>
  <c r="B598"/>
  <c r="M603"/>
  <c r="C736"/>
  <c r="C726"/>
  <c r="C721"/>
  <c r="C715"/>
  <c r="C710"/>
  <c r="C706"/>
  <c r="C699"/>
  <c r="C686"/>
  <c r="C687"/>
  <c r="C688"/>
  <c r="C690"/>
  <c r="C691"/>
  <c r="C692"/>
  <c r="C693"/>
  <c r="C694"/>
  <c r="C695"/>
  <c r="C684"/>
  <c r="C683"/>
  <c r="C682"/>
  <c r="C591"/>
  <c r="C590"/>
  <c r="C589"/>
  <c r="C588"/>
  <c r="C587"/>
  <c r="C586"/>
  <c r="C582"/>
  <c r="C578"/>
  <c r="C574"/>
  <c r="C571"/>
  <c r="C564"/>
  <c r="C565"/>
  <c r="C566"/>
  <c r="C567"/>
  <c r="C568"/>
  <c r="C563"/>
  <c r="C553"/>
  <c r="C554"/>
  <c r="C555"/>
  <c r="C556"/>
  <c r="C552"/>
  <c r="C551"/>
  <c r="C541"/>
  <c r="C539"/>
  <c r="C535"/>
  <c r="G462"/>
  <c r="H462"/>
  <c r="I462"/>
  <c r="J462"/>
  <c r="G487"/>
  <c r="H487"/>
  <c r="I487"/>
  <c r="J487"/>
  <c r="G495"/>
  <c r="H495"/>
  <c r="I495"/>
  <c r="J495"/>
  <c r="F491"/>
  <c r="F490"/>
  <c r="F487"/>
  <c r="F484"/>
  <c r="F483"/>
  <c r="F477"/>
  <c r="F471"/>
  <c r="F470"/>
  <c r="F465"/>
  <c r="F462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61"/>
  <c r="C375"/>
  <c r="C376"/>
  <c r="C377"/>
  <c r="C378"/>
  <c r="C379"/>
  <c r="C380"/>
  <c r="C381"/>
  <c r="C382"/>
  <c r="C383"/>
  <c r="C371"/>
  <c r="C307"/>
  <c r="C308"/>
  <c r="C309"/>
  <c r="C310"/>
  <c r="C305"/>
  <c r="H203"/>
  <c r="I203"/>
  <c r="J203"/>
  <c r="G203"/>
  <c r="C274"/>
  <c r="C273"/>
  <c r="C272"/>
  <c r="C271"/>
  <c r="C270"/>
  <c r="C269"/>
  <c r="C268"/>
  <c r="C267"/>
  <c r="C266"/>
  <c r="C264"/>
  <c r="C263"/>
  <c r="C262"/>
  <c r="C261"/>
  <c r="C260"/>
  <c r="C259"/>
  <c r="C258"/>
  <c r="C257"/>
  <c r="C256"/>
  <c r="C255"/>
  <c r="C254"/>
  <c r="J825"/>
  <c r="I825"/>
  <c r="H825"/>
  <c r="G825"/>
  <c r="F825"/>
  <c r="C177"/>
  <c r="C178"/>
  <c r="C179"/>
  <c r="C180"/>
  <c r="C181"/>
  <c r="C182"/>
  <c r="C183"/>
  <c r="C184"/>
  <c r="C176"/>
  <c r="C173"/>
  <c r="C174"/>
  <c r="C172"/>
  <c r="C840"/>
  <c r="C839"/>
  <c r="M838"/>
  <c r="C838"/>
  <c r="C836"/>
  <c r="C830"/>
  <c r="C831"/>
  <c r="C832"/>
  <c r="C829"/>
  <c r="M830"/>
  <c r="C943"/>
  <c r="C944"/>
  <c r="C945"/>
  <c r="C946"/>
  <c r="C947"/>
  <c r="C948"/>
  <c r="C949"/>
  <c r="C950"/>
  <c r="C951"/>
  <c r="C953"/>
  <c r="C954"/>
  <c r="C955"/>
  <c r="C956"/>
  <c r="C957"/>
  <c r="C959"/>
  <c r="C961"/>
  <c r="C962"/>
  <c r="C963"/>
  <c r="C964"/>
  <c r="C965"/>
  <c r="C966"/>
  <c r="C967"/>
  <c r="C969"/>
  <c r="C971"/>
  <c r="C973"/>
  <c r="C974"/>
  <c r="C976"/>
  <c r="C978"/>
  <c r="C942"/>
  <c r="C875"/>
  <c r="C859"/>
  <c r="C860"/>
  <c r="C861"/>
  <c r="C862"/>
  <c r="C864"/>
  <c r="C865"/>
  <c r="C867"/>
  <c r="C869"/>
  <c r="C870"/>
  <c r="C871"/>
  <c r="C872"/>
  <c r="C873"/>
  <c r="C877"/>
  <c r="C879"/>
  <c r="C880"/>
  <c r="C881"/>
  <c r="C882"/>
  <c r="C884"/>
  <c r="C886"/>
  <c r="C887"/>
  <c r="C858"/>
  <c r="C751"/>
  <c r="C752"/>
  <c r="C753"/>
  <c r="C754"/>
  <c r="C755"/>
  <c r="C757"/>
  <c r="C758"/>
  <c r="C759"/>
  <c r="C760"/>
  <c r="C761"/>
  <c r="C762"/>
  <c r="C763"/>
  <c r="C764"/>
  <c r="C765"/>
  <c r="C766"/>
  <c r="C767"/>
  <c r="C768"/>
  <c r="C769"/>
  <c r="C770"/>
  <c r="C771"/>
  <c r="C772"/>
  <c r="C750"/>
  <c r="C707"/>
  <c r="M703"/>
  <c r="M700"/>
  <c r="M865"/>
  <c r="M877"/>
  <c r="M883"/>
  <c r="F495"/>
  <c r="M433"/>
  <c r="M389"/>
  <c r="M406"/>
  <c r="M405"/>
  <c r="M429"/>
  <c r="M428"/>
  <c r="M416"/>
  <c r="C448"/>
  <c r="C447"/>
  <c r="C446"/>
  <c r="C445"/>
  <c r="C444"/>
  <c r="C441"/>
  <c r="C440"/>
  <c r="C439"/>
  <c r="C438"/>
  <c r="C436"/>
  <c r="C435"/>
  <c r="C434"/>
  <c r="C433"/>
  <c r="C407"/>
  <c r="C406"/>
  <c r="C405"/>
  <c r="C404"/>
  <c r="C403"/>
  <c r="C402"/>
  <c r="C401"/>
  <c r="C400"/>
  <c r="C397"/>
  <c r="C396"/>
  <c r="C395"/>
  <c r="C394"/>
  <c r="C392"/>
  <c r="C391"/>
  <c r="C390"/>
  <c r="C389"/>
  <c r="C410"/>
  <c r="C430"/>
  <c r="C429"/>
  <c r="C428"/>
  <c r="C423"/>
  <c r="C425"/>
  <c r="C427"/>
  <c r="C411"/>
  <c r="C426"/>
  <c r="C418"/>
  <c r="C419"/>
  <c r="C420"/>
  <c r="C424"/>
  <c r="C417"/>
  <c r="C412"/>
  <c r="C413"/>
  <c r="C356"/>
  <c r="C348"/>
  <c r="C340"/>
  <c r="C330"/>
  <c r="H319"/>
  <c r="I319"/>
  <c r="G319"/>
  <c r="C303"/>
  <c r="C297"/>
  <c r="C291"/>
  <c r="G1255"/>
  <c r="H1255"/>
  <c r="I1255"/>
  <c r="J1255"/>
  <c r="F1255"/>
  <c r="G1206"/>
  <c r="H1206"/>
  <c r="I1206"/>
  <c r="J1206"/>
  <c r="F1206"/>
  <c r="G1112"/>
  <c r="H1112"/>
  <c r="I1112"/>
  <c r="J1112"/>
  <c r="F1112"/>
  <c r="G1007"/>
  <c r="H1007"/>
  <c r="I1007"/>
  <c r="J1007"/>
  <c r="F1007"/>
  <c r="G940"/>
  <c r="H940"/>
  <c r="I940"/>
  <c r="J940"/>
  <c r="F940"/>
  <c r="G856"/>
  <c r="H856"/>
  <c r="I856"/>
  <c r="J856"/>
  <c r="F856"/>
  <c r="G748"/>
  <c r="H748"/>
  <c r="I748"/>
  <c r="J748"/>
  <c r="F748"/>
  <c r="G670"/>
  <c r="H670"/>
  <c r="I670"/>
  <c r="J670"/>
  <c r="F670"/>
  <c r="G610"/>
  <c r="H610"/>
  <c r="I610"/>
  <c r="J610"/>
  <c r="F610"/>
  <c r="G594"/>
  <c r="H594"/>
  <c r="I594"/>
  <c r="J594"/>
  <c r="F594"/>
  <c r="G532"/>
  <c r="H532"/>
  <c r="I532"/>
  <c r="J532"/>
  <c r="F532"/>
  <c r="G498"/>
  <c r="H498"/>
  <c r="I498"/>
  <c r="J498"/>
  <c r="F498"/>
  <c r="G386"/>
  <c r="H386"/>
  <c r="I386"/>
  <c r="J386"/>
  <c r="F386"/>
  <c r="G322"/>
  <c r="H322"/>
  <c r="I322"/>
  <c r="J322"/>
  <c r="F322"/>
  <c r="G277"/>
  <c r="H277"/>
  <c r="I277"/>
  <c r="J277"/>
  <c r="F277"/>
  <c r="G201"/>
  <c r="H201"/>
  <c r="I201"/>
  <c r="J201"/>
  <c r="F201"/>
  <c r="G194"/>
  <c r="H194"/>
  <c r="I194"/>
  <c r="J194"/>
  <c r="F194"/>
  <c r="G187"/>
  <c r="H187"/>
  <c r="I187"/>
  <c r="J187"/>
  <c r="F187"/>
  <c r="C285"/>
  <c r="C223"/>
  <c r="C217"/>
  <c r="C216"/>
  <c r="C215"/>
  <c r="C213"/>
  <c r="C204"/>
  <c r="C227"/>
  <c r="C226"/>
  <c r="C225"/>
  <c r="C224"/>
  <c r="C222"/>
  <c r="C214"/>
  <c r="C212"/>
  <c r="C211"/>
  <c r="C210"/>
  <c r="C209"/>
  <c r="C208"/>
  <c r="C207"/>
  <c r="C203"/>
  <c r="C189"/>
  <c r="C157"/>
  <c r="C156"/>
  <c r="C155"/>
  <c r="C154"/>
  <c r="C153"/>
  <c r="C152"/>
  <c r="C147"/>
  <c r="C146"/>
  <c r="C145"/>
  <c r="C130"/>
  <c r="C206"/>
  <c r="C205"/>
  <c r="A123"/>
  <c r="A196"/>
  <c r="A203"/>
  <c r="A189"/>
  <c r="A145"/>
  <c r="A130"/>
  <c r="G143"/>
  <c r="H143"/>
  <c r="I143"/>
  <c r="J143"/>
  <c r="G128"/>
  <c r="H128"/>
  <c r="I128"/>
  <c r="J128"/>
  <c r="G121"/>
  <c r="H121"/>
  <c r="I121"/>
  <c r="J121"/>
  <c r="F143"/>
  <c r="F128"/>
  <c r="F121"/>
  <c r="G113"/>
  <c r="H113"/>
  <c r="I113"/>
  <c r="J113"/>
  <c r="F113"/>
  <c r="D7"/>
  <c r="B7"/>
  <c r="B462" i="3"/>
  <c r="F267" i="1"/>
  <c r="F177"/>
  <c r="F268"/>
  <c r="F178"/>
  <c r="F273"/>
  <c r="F564"/>
  <c r="F271"/>
  <c r="F567"/>
  <c r="F183"/>
  <c r="F552"/>
  <c r="F181"/>
  <c r="F555"/>
  <c r="G258"/>
  <c r="G752"/>
  <c r="G363"/>
  <c r="F184"/>
  <c r="F553"/>
  <c r="F274"/>
  <c r="F565"/>
  <c r="J118"/>
  <c r="J284"/>
  <c r="F180"/>
  <c r="F683"/>
  <c r="F179"/>
  <c r="F182"/>
  <c r="F556"/>
  <c r="I258"/>
  <c r="H258"/>
  <c r="H255"/>
  <c r="G255"/>
  <c r="G256"/>
  <c r="G259"/>
  <c r="F270"/>
  <c r="F687"/>
  <c r="F269"/>
  <c r="F859"/>
  <c r="F272"/>
  <c r="F568"/>
  <c r="F554"/>
  <c r="F966"/>
  <c r="F297" i="3"/>
  <c r="F296"/>
  <c r="F551" i="1"/>
  <c r="F943"/>
  <c r="F255" i="3"/>
  <c r="F254"/>
  <c r="F566" i="1"/>
  <c r="F563"/>
  <c r="F962"/>
  <c r="F289" i="3"/>
  <c r="F288"/>
  <c r="F152"/>
  <c r="G260" i="1"/>
  <c r="G306"/>
  <c r="G281"/>
  <c r="G257"/>
  <c r="G753"/>
  <c r="G364"/>
  <c r="H753"/>
  <c r="H56" i="3"/>
  <c r="H55"/>
  <c r="H364" i="1"/>
  <c r="H752"/>
  <c r="H363"/>
  <c r="I752"/>
  <c r="I363"/>
  <c r="F858"/>
  <c r="F682"/>
  <c r="J283"/>
  <c r="J319"/>
  <c r="G54" i="3"/>
  <c r="G261" i="1"/>
  <c r="H256"/>
  <c r="G262"/>
  <c r="G53" i="3"/>
  <c r="J307" i="1"/>
  <c r="F17" i="3"/>
  <c r="F150"/>
  <c r="I54"/>
  <c r="I53"/>
  <c r="J258" i="1"/>
  <c r="H54" i="3"/>
  <c r="H53"/>
  <c r="J255" i="1"/>
  <c r="I255"/>
  <c r="G56" i="3"/>
  <c r="G305" i="1"/>
  <c r="G313"/>
  <c r="G327"/>
  <c r="H260"/>
  <c r="F151" i="3"/>
  <c r="H261" i="1"/>
  <c r="H259"/>
  <c r="G273"/>
  <c r="G564"/>
  <c r="G271"/>
  <c r="G567"/>
  <c r="G264"/>
  <c r="H257"/>
  <c r="G312"/>
  <c r="G328"/>
  <c r="G860"/>
  <c r="G317"/>
  <c r="G578"/>
  <c r="G965"/>
  <c r="G295" i="3"/>
  <c r="G294"/>
  <c r="G1221" i="1"/>
  <c r="G55" i="3"/>
  <c r="I753" i="1"/>
  <c r="I364"/>
  <c r="J753"/>
  <c r="J56" i="3"/>
  <c r="J55"/>
  <c r="J364" i="1"/>
  <c r="J752"/>
  <c r="J363"/>
  <c r="F149" i="3"/>
  <c r="F16"/>
  <c r="H306" i="1"/>
  <c r="H281"/>
  <c r="H262"/>
  <c r="H305"/>
  <c r="H313"/>
  <c r="H327"/>
  <c r="I256"/>
  <c r="I261"/>
  <c r="I259"/>
  <c r="J54" i="3"/>
  <c r="I56"/>
  <c r="G373" i="1"/>
  <c r="G154" i="3"/>
  <c r="G699" i="1"/>
  <c r="G274"/>
  <c r="G565"/>
  <c r="G268"/>
  <c r="G267"/>
  <c r="G263"/>
  <c r="G535"/>
  <c r="G266"/>
  <c r="G563"/>
  <c r="H273"/>
  <c r="H564"/>
  <c r="H271"/>
  <c r="H567"/>
  <c r="H264"/>
  <c r="G962"/>
  <c r="I257"/>
  <c r="G269"/>
  <c r="G947"/>
  <c r="G263" i="3"/>
  <c r="G262"/>
  <c r="G272" i="1"/>
  <c r="G568"/>
  <c r="G566"/>
  <c r="G153" i="3"/>
  <c r="I55"/>
  <c r="J53"/>
  <c r="I260" i="1"/>
  <c r="I306"/>
  <c r="I281"/>
  <c r="H312"/>
  <c r="H328"/>
  <c r="H860"/>
  <c r="H317"/>
  <c r="H578"/>
  <c r="H965"/>
  <c r="H295" i="3"/>
  <c r="H294"/>
  <c r="H1221" i="1"/>
  <c r="G845"/>
  <c r="I262"/>
  <c r="J256"/>
  <c r="J261"/>
  <c r="J259"/>
  <c r="H373"/>
  <c r="H154" i="3"/>
  <c r="H699" i="1"/>
  <c r="I305"/>
  <c r="I313"/>
  <c r="I327"/>
  <c r="H272"/>
  <c r="H568"/>
  <c r="G844"/>
  <c r="G254"/>
  <c r="G270"/>
  <c r="G289" i="3"/>
  <c r="G288"/>
  <c r="H263" i="1"/>
  <c r="H535"/>
  <c r="H274"/>
  <c r="H565"/>
  <c r="H268"/>
  <c r="H267"/>
  <c r="H845"/>
  <c r="H266"/>
  <c r="H566"/>
  <c r="H563"/>
  <c r="I273"/>
  <c r="I564"/>
  <c r="I271"/>
  <c r="I567"/>
  <c r="I264"/>
  <c r="H962"/>
  <c r="J257"/>
  <c r="J260"/>
  <c r="H269"/>
  <c r="H947"/>
  <c r="H263" i="3"/>
  <c r="H262"/>
  <c r="G687" i="1"/>
  <c r="I312"/>
  <c r="I328"/>
  <c r="I860"/>
  <c r="I317"/>
  <c r="I578"/>
  <c r="I965"/>
  <c r="I295" i="3"/>
  <c r="I294"/>
  <c r="I1221" i="1"/>
  <c r="H153" i="3"/>
  <c r="J306" i="1"/>
  <c r="J281"/>
  <c r="G326"/>
  <c r="G859"/>
  <c r="J262"/>
  <c r="G152" i="3"/>
  <c r="G372" i="1"/>
  <c r="J305"/>
  <c r="J313"/>
  <c r="J327"/>
  <c r="I373"/>
  <c r="I154" i="3"/>
  <c r="I699" i="1"/>
  <c r="H844"/>
  <c r="H254"/>
  <c r="H270"/>
  <c r="H289" i="3"/>
  <c r="H288"/>
  <c r="I274" i="1"/>
  <c r="I565"/>
  <c r="I263"/>
  <c r="I535"/>
  <c r="I268"/>
  <c r="I267"/>
  <c r="I845"/>
  <c r="I266"/>
  <c r="I563"/>
  <c r="J273"/>
  <c r="J564"/>
  <c r="J271"/>
  <c r="J567"/>
  <c r="J264"/>
  <c r="I962"/>
  <c r="I269"/>
  <c r="I272"/>
  <c r="I568"/>
  <c r="I566"/>
  <c r="I947"/>
  <c r="I263" i="3"/>
  <c r="I262"/>
  <c r="H687" i="1"/>
  <c r="I153" i="3"/>
  <c r="J312" i="1"/>
  <c r="J328"/>
  <c r="J860"/>
  <c r="J317"/>
  <c r="J578"/>
  <c r="J965"/>
  <c r="J295" i="3"/>
  <c r="J294"/>
  <c r="J1221" i="1"/>
  <c r="G151" i="3"/>
  <c r="H326" i="1"/>
  <c r="H859"/>
  <c r="H152" i="3"/>
  <c r="H372" i="1"/>
  <c r="J373"/>
  <c r="J154" i="3"/>
  <c r="J699" i="1"/>
  <c r="J272"/>
  <c r="J568"/>
  <c r="I844"/>
  <c r="I254"/>
  <c r="I270"/>
  <c r="I289" i="3"/>
  <c r="I288"/>
  <c r="J263" i="1"/>
  <c r="J535"/>
  <c r="J274"/>
  <c r="J565"/>
  <c r="J268"/>
  <c r="J267"/>
  <c r="J845"/>
  <c r="J266"/>
  <c r="J566"/>
  <c r="J563"/>
  <c r="J962"/>
  <c r="J269"/>
  <c r="J947"/>
  <c r="J263" i="3"/>
  <c r="J262"/>
  <c r="I687" i="1"/>
  <c r="J153" i="3"/>
  <c r="H151"/>
  <c r="I326" i="1"/>
  <c r="I859"/>
  <c r="I152" i="3"/>
  <c r="I372" i="1"/>
  <c r="J844"/>
  <c r="J254"/>
  <c r="J270"/>
  <c r="J289" i="3"/>
  <c r="J288"/>
  <c r="J687" i="1"/>
  <c r="I151" i="3"/>
  <c r="J326" i="1"/>
  <c r="J859"/>
  <c r="J152" i="3"/>
  <c r="J372" i="1"/>
  <c r="J151" i="3"/>
  <c r="B393" i="1"/>
  <c r="B414"/>
  <c r="B437"/>
  <c r="M407"/>
  <c r="M430"/>
  <c r="M831"/>
  <c r="M839"/>
  <c r="M390"/>
  <c r="B392"/>
  <c r="M411"/>
  <c r="B413"/>
  <c r="M434"/>
  <c r="B436"/>
  <c r="F439"/>
  <c r="F488"/>
  <c r="F448"/>
  <c r="H448"/>
  <c r="H494"/>
  <c r="I448"/>
  <c r="I494"/>
  <c r="J448"/>
  <c r="J494"/>
  <c r="J440"/>
  <c r="J489"/>
  <c r="G440"/>
  <c r="G489"/>
  <c r="H440"/>
  <c r="H489"/>
  <c r="I440"/>
  <c r="I489"/>
  <c r="F440"/>
  <c r="F489"/>
  <c r="G418"/>
  <c r="F418"/>
  <c r="F475"/>
  <c r="F427"/>
  <c r="G427"/>
  <c r="G482"/>
  <c r="I427"/>
  <c r="I482"/>
  <c r="J427"/>
  <c r="J482"/>
  <c r="J419"/>
  <c r="G420"/>
  <c r="G477"/>
  <c r="G419"/>
  <c r="H419"/>
  <c r="I419"/>
  <c r="F419"/>
  <c r="F476"/>
  <c r="G395"/>
  <c r="F395"/>
  <c r="F463"/>
  <c r="F404"/>
  <c r="G404"/>
  <c r="G469"/>
  <c r="I404"/>
  <c r="I469"/>
  <c r="J404"/>
  <c r="J469"/>
  <c r="J396"/>
  <c r="J464"/>
  <c r="G397"/>
  <c r="G396"/>
  <c r="G464"/>
  <c r="H396"/>
  <c r="H464"/>
  <c r="I396"/>
  <c r="I464"/>
  <c r="F396"/>
  <c r="F464"/>
  <c r="M446"/>
  <c r="G448"/>
  <c r="G494"/>
  <c r="G692"/>
  <c r="M425"/>
  <c r="H427"/>
  <c r="H482"/>
  <c r="M402"/>
  <c r="H404"/>
  <c r="H469"/>
  <c r="H692"/>
  <c r="M832"/>
  <c r="F494"/>
  <c r="F482"/>
  <c r="G421"/>
  <c r="G465"/>
  <c r="F469"/>
  <c r="G398"/>
  <c r="G463"/>
  <c r="J441"/>
  <c r="J490"/>
  <c r="I441"/>
  <c r="I490"/>
  <c r="H441"/>
  <c r="H490"/>
  <c r="G441"/>
  <c r="G490"/>
  <c r="I439"/>
  <c r="H439"/>
  <c r="G439"/>
  <c r="J439"/>
  <c r="J420"/>
  <c r="J477"/>
  <c r="I420"/>
  <c r="I477"/>
  <c r="H420"/>
  <c r="H477"/>
  <c r="J418"/>
  <c r="I418"/>
  <c r="H418"/>
  <c r="F956"/>
  <c r="J397"/>
  <c r="I397"/>
  <c r="H397"/>
  <c r="J692"/>
  <c r="I692"/>
  <c r="J395"/>
  <c r="I395"/>
  <c r="H395"/>
  <c r="G23" i="3"/>
  <c r="H463" i="1"/>
  <c r="I463"/>
  <c r="J463"/>
  <c r="I23" i="3"/>
  <c r="I22"/>
  <c r="J23"/>
  <c r="J22"/>
  <c r="H465" i="1"/>
  <c r="I465"/>
  <c r="J465"/>
  <c r="F280" i="3"/>
  <c r="F279"/>
  <c r="F282"/>
  <c r="F957" i="1"/>
  <c r="J488"/>
  <c r="G442"/>
  <c r="G488"/>
  <c r="H488"/>
  <c r="I488"/>
  <c r="G400"/>
  <c r="G466"/>
  <c r="F692"/>
  <c r="G423"/>
  <c r="G478"/>
  <c r="H23" i="3"/>
  <c r="H22"/>
  <c r="G22"/>
  <c r="G424" i="1"/>
  <c r="F693"/>
  <c r="F23" i="3"/>
  <c r="J693" i="1"/>
  <c r="G693"/>
  <c r="H693"/>
  <c r="I693"/>
  <c r="G401"/>
  <c r="G444"/>
  <c r="G491"/>
  <c r="G445"/>
  <c r="H399"/>
  <c r="G467"/>
  <c r="H398"/>
  <c r="I948"/>
  <c r="I265" i="3"/>
  <c r="I264"/>
  <c r="I25"/>
  <c r="I24"/>
  <c r="H948" i="1"/>
  <c r="H265" i="3"/>
  <c r="H264"/>
  <c r="H25"/>
  <c r="H24"/>
  <c r="G948" i="1"/>
  <c r="G265" i="3"/>
  <c r="G264"/>
  <c r="G25"/>
  <c r="G24"/>
  <c r="J948" i="1"/>
  <c r="J265" i="3"/>
  <c r="J264"/>
  <c r="J25"/>
  <c r="J24"/>
  <c r="F22"/>
  <c r="F25"/>
  <c r="H422" i="1"/>
  <c r="H421"/>
  <c r="G337"/>
  <c r="G757"/>
  <c r="G64" i="3"/>
  <c r="G368" i="1"/>
  <c r="H423"/>
  <c r="F24" i="3"/>
  <c r="H466" i="1"/>
  <c r="H400"/>
  <c r="G954"/>
  <c r="H443"/>
  <c r="G492"/>
  <c r="G949"/>
  <c r="G267" i="3"/>
  <c r="G266"/>
  <c r="H442" i="1"/>
  <c r="H491"/>
  <c r="H444"/>
  <c r="G276" i="3"/>
  <c r="G275"/>
  <c r="H401" i="1"/>
  <c r="H424"/>
  <c r="G63" i="3"/>
  <c r="M726" i="1"/>
  <c r="M714"/>
  <c r="I422"/>
  <c r="I421"/>
  <c r="I399"/>
  <c r="H467"/>
  <c r="I398"/>
  <c r="H445"/>
  <c r="I443"/>
  <c r="H492"/>
  <c r="H949"/>
  <c r="H267" i="3"/>
  <c r="H266"/>
  <c r="I442" i="1"/>
  <c r="I466"/>
  <c r="I400"/>
  <c r="H954"/>
  <c r="I423"/>
  <c r="I424"/>
  <c r="H276" i="3"/>
  <c r="H275"/>
  <c r="I401" i="1"/>
  <c r="I491"/>
  <c r="I444"/>
  <c r="M330"/>
  <c r="M340"/>
  <c r="M348"/>
  <c r="I445"/>
  <c r="J399"/>
  <c r="I467"/>
  <c r="J398"/>
  <c r="J422"/>
  <c r="J421"/>
  <c r="J423"/>
  <c r="J466"/>
  <c r="J400"/>
  <c r="I954"/>
  <c r="J443"/>
  <c r="I492"/>
  <c r="I949"/>
  <c r="I267" i="3"/>
  <c r="I266"/>
  <c r="J442" i="1"/>
  <c r="J491"/>
  <c r="J444"/>
  <c r="I276" i="3"/>
  <c r="I275"/>
  <c r="J401" i="1"/>
  <c r="K399" s="1"/>
  <c r="J424"/>
  <c r="K422" s="1"/>
  <c r="J467"/>
  <c r="J445"/>
  <c r="K443" s="1"/>
  <c r="J492"/>
  <c r="J949"/>
  <c r="J267" i="3"/>
  <c r="J266"/>
  <c r="J954" i="1"/>
  <c r="J276" i="3"/>
  <c r="J275"/>
  <c r="M422" i="1"/>
  <c r="M399"/>
  <c r="M443"/>
  <c r="A7" i="4"/>
  <c r="K98" i="1" l="1"/>
  <c r="K349"/>
  <c r="M349" s="1"/>
  <c r="K341"/>
  <c r="M341" s="1"/>
  <c r="K331"/>
  <c r="M331" s="1"/>
  <c r="K30"/>
  <c r="K232"/>
  <c r="M232" s="1"/>
  <c r="K207"/>
  <c r="M207" s="1"/>
  <c r="K235"/>
  <c r="M235" s="1"/>
  <c r="K210"/>
  <c r="M210" s="1"/>
  <c r="G137"/>
  <c r="G139"/>
  <c r="G138"/>
  <c r="G159"/>
  <c r="K229"/>
  <c r="K231" s="1"/>
  <c r="M124"/>
  <c r="G132"/>
  <c r="G134"/>
  <c r="G133"/>
  <c r="G146"/>
  <c r="K163" i="2"/>
  <c r="K118"/>
  <c r="K111"/>
  <c r="H136" i="1"/>
  <c r="I135"/>
  <c r="K204"/>
  <c r="K206" s="1"/>
  <c r="K118"/>
  <c r="K284" s="1"/>
  <c r="M123"/>
  <c r="K627"/>
  <c r="M627" s="1"/>
  <c r="K623"/>
  <c r="M623" s="1"/>
  <c r="K620"/>
  <c r="M620" s="1"/>
  <c r="K514"/>
  <c r="K512"/>
  <c r="K525" s="1"/>
  <c r="K507"/>
  <c r="M507" s="1"/>
  <c r="B508" s="1"/>
  <c r="K505"/>
  <c r="M505" s="1"/>
  <c r="K504"/>
  <c r="K506" s="1"/>
  <c r="K28"/>
  <c r="K1239"/>
  <c r="M1239" s="1"/>
  <c r="K1238"/>
  <c r="M1238" s="1"/>
  <c r="K1237"/>
  <c r="M1237" s="1"/>
  <c r="K1234"/>
  <c r="M1234" s="1"/>
  <c r="K1233"/>
  <c r="M1233" s="1"/>
  <c r="K1232"/>
  <c r="M1232" s="1"/>
  <c r="K636"/>
  <c r="K967" s="1"/>
  <c r="K299" i="3" s="1"/>
  <c r="K634" i="1"/>
  <c r="M634" s="1"/>
  <c r="K632"/>
  <c r="K631"/>
  <c r="K630"/>
  <c r="K629"/>
  <c r="K486"/>
  <c r="K473"/>
  <c r="K461"/>
  <c r="K380"/>
  <c r="M380" s="1"/>
  <c r="K378"/>
  <c r="K377"/>
  <c r="K375"/>
  <c r="K258"/>
  <c r="K255"/>
  <c r="K301"/>
  <c r="K295"/>
  <c r="K289"/>
  <c r="K441"/>
  <c r="K440"/>
  <c r="K439"/>
  <c r="K420"/>
  <c r="K419"/>
  <c r="K418"/>
  <c r="K397"/>
  <c r="K396"/>
  <c r="K395"/>
  <c r="K236" i="2"/>
  <c r="M236" s="1"/>
  <c r="K220"/>
  <c r="M220" s="1"/>
  <c r="K517" i="1"/>
  <c r="K516"/>
  <c r="K528" s="1"/>
  <c r="K515"/>
  <c r="K527" s="1"/>
  <c r="K493"/>
  <c r="M493" s="1"/>
  <c r="K490"/>
  <c r="K489"/>
  <c r="K488"/>
  <c r="K487"/>
  <c r="M487" s="1"/>
  <c r="K840"/>
  <c r="M840" s="1"/>
  <c r="K472"/>
  <c r="K471"/>
  <c r="K470"/>
  <c r="K468"/>
  <c r="K465"/>
  <c r="K464"/>
  <c r="K463"/>
  <c r="K462"/>
  <c r="M462" s="1"/>
  <c r="K485"/>
  <c r="M485" s="1"/>
  <c r="K484"/>
  <c r="M484" s="1"/>
  <c r="K483"/>
  <c r="M483" s="1"/>
  <c r="K481"/>
  <c r="M481" s="1"/>
  <c r="K480"/>
  <c r="K477"/>
  <c r="K474"/>
  <c r="K192" i="2"/>
  <c r="M192" s="1"/>
  <c r="K191"/>
  <c r="K289" s="1"/>
  <c r="K198"/>
  <c r="K197"/>
  <c r="K293" s="1"/>
  <c r="K624" i="1"/>
  <c r="M624" s="1"/>
  <c r="K621"/>
  <c r="K182" i="3"/>
  <c r="K1274" i="1"/>
  <c r="M1274" s="1"/>
  <c r="K1132"/>
  <c r="K469" i="3"/>
  <c r="K222" i="2"/>
  <c r="M222" s="1"/>
  <c r="K164"/>
  <c r="K165" s="1"/>
  <c r="K127"/>
  <c r="K125"/>
  <c r="K975" i="1"/>
  <c r="K313" i="3" s="1"/>
  <c r="K312" s="1"/>
  <c r="K973" i="1"/>
  <c r="K706"/>
  <c r="K685"/>
  <c r="M685" s="1"/>
  <c r="K130" i="2"/>
  <c r="K129"/>
  <c r="K126"/>
  <c r="K356" i="1"/>
  <c r="K124" i="2"/>
  <c r="K123"/>
  <c r="K114"/>
  <c r="K625" i="1"/>
  <c r="K638" s="1"/>
  <c r="H130"/>
  <c r="K654"/>
  <c r="M206" l="1"/>
  <c r="K208"/>
  <c r="K211"/>
  <c r="K205"/>
  <c r="M231"/>
  <c r="K233"/>
  <c r="K236"/>
  <c r="K230"/>
  <c r="K635"/>
  <c r="K637" s="1"/>
  <c r="M654"/>
  <c r="H131"/>
  <c r="I130"/>
  <c r="K206" i="2"/>
  <c r="K147"/>
  <c r="K288" s="1"/>
  <c r="K140"/>
  <c r="K265" s="1"/>
  <c r="K115"/>
  <c r="M115" s="1"/>
  <c r="M114"/>
  <c r="K231"/>
  <c r="M231" s="1"/>
  <c r="K208"/>
  <c r="K131"/>
  <c r="M131" s="1"/>
  <c r="M123"/>
  <c r="K232"/>
  <c r="M232" s="1"/>
  <c r="K209"/>
  <c r="M209" s="1"/>
  <c r="M124"/>
  <c r="K357" i="1"/>
  <c r="M356"/>
  <c r="K233" i="2"/>
  <c r="M233" s="1"/>
  <c r="K211"/>
  <c r="M211" s="1"/>
  <c r="M126"/>
  <c r="K215"/>
  <c r="M215" s="1"/>
  <c r="M129"/>
  <c r="K216"/>
  <c r="M216" s="1"/>
  <c r="M130"/>
  <c r="M706" i="1"/>
  <c r="K309" i="3"/>
  <c r="K308" s="1"/>
  <c r="K210" i="2"/>
  <c r="M210" s="1"/>
  <c r="M125"/>
  <c r="K212"/>
  <c r="M127"/>
  <c r="K176"/>
  <c r="K182" s="1"/>
  <c r="M165"/>
  <c r="K181" i="3"/>
  <c r="M182"/>
  <c r="K219" i="2"/>
  <c r="M198"/>
  <c r="M474" i="1"/>
  <c r="K674"/>
  <c r="M480"/>
  <c r="K690"/>
  <c r="M468"/>
  <c r="K873"/>
  <c r="M470"/>
  <c r="K829"/>
  <c r="M471"/>
  <c r="K684"/>
  <c r="M684" s="1"/>
  <c r="M472"/>
  <c r="K529"/>
  <c r="M529" s="1"/>
  <c r="M517"/>
  <c r="K398"/>
  <c r="K421"/>
  <c r="K442"/>
  <c r="K308"/>
  <c r="M289"/>
  <c r="K309"/>
  <c r="M295"/>
  <c r="K310"/>
  <c r="M301"/>
  <c r="M255"/>
  <c r="K752"/>
  <c r="K363"/>
  <c r="M363" s="1"/>
  <c r="M258"/>
  <c r="K376"/>
  <c r="M375"/>
  <c r="M377"/>
  <c r="K379"/>
  <c r="M378"/>
  <c r="K869"/>
  <c r="K647"/>
  <c r="K495"/>
  <c r="M495" s="1"/>
  <c r="M461"/>
  <c r="K648"/>
  <c r="M648" s="1"/>
  <c r="M473"/>
  <c r="K871"/>
  <c r="K649"/>
  <c r="M649" s="1"/>
  <c r="M486"/>
  <c r="K879"/>
  <c r="K656"/>
  <c r="M656" s="1"/>
  <c r="M629"/>
  <c r="K880"/>
  <c r="K661"/>
  <c r="M630"/>
  <c r="K863"/>
  <c r="K662"/>
  <c r="M662" s="1"/>
  <c r="M631"/>
  <c r="K738"/>
  <c r="M632"/>
  <c r="K508"/>
  <c r="F508"/>
  <c r="G508"/>
  <c r="H508"/>
  <c r="I508"/>
  <c r="J508"/>
  <c r="K518"/>
  <c r="M518" s="1"/>
  <c r="M514"/>
  <c r="K319"/>
  <c r="K283"/>
  <c r="I136"/>
  <c r="J135"/>
  <c r="H137"/>
  <c r="H139"/>
  <c r="H138"/>
  <c r="H159"/>
  <c r="G149"/>
  <c r="G150"/>
  <c r="G151"/>
  <c r="G157"/>
  <c r="G156"/>
  <c r="G154"/>
  <c r="G173"/>
  <c r="G162"/>
  <c r="G163"/>
  <c r="G164"/>
  <c r="G170"/>
  <c r="G169"/>
  <c r="G167"/>
  <c r="K32"/>
  <c r="K167" i="2"/>
  <c r="K633" i="1"/>
  <c r="K298" i="3"/>
  <c r="K513" i="1"/>
  <c r="K526" s="1"/>
  <c r="G147"/>
  <c r="G160"/>
  <c r="K242" i="2" l="1"/>
  <c r="M182"/>
  <c r="G174" i="1"/>
  <c r="M633"/>
  <c r="K169" i="2"/>
  <c r="K168"/>
  <c r="K277" s="1"/>
  <c r="K275" s="1"/>
  <c r="K279" s="1"/>
  <c r="K543" i="3"/>
  <c r="K518"/>
  <c r="K451"/>
  <c r="K346"/>
  <c r="K250"/>
  <c r="K147"/>
  <c r="K47"/>
  <c r="K11"/>
  <c r="K262" i="2"/>
  <c r="K228"/>
  <c r="K204"/>
  <c r="K179"/>
  <c r="K156"/>
  <c r="K134"/>
  <c r="K106"/>
  <c r="K1255" i="1"/>
  <c r="K1206"/>
  <c r="K1181"/>
  <c r="K1112"/>
  <c r="K1007"/>
  <c r="K940"/>
  <c r="K856"/>
  <c r="K825"/>
  <c r="K748"/>
  <c r="K670"/>
  <c r="K643"/>
  <c r="K610"/>
  <c r="K594"/>
  <c r="K532"/>
  <c r="K498"/>
  <c r="K386"/>
  <c r="K322"/>
  <c r="K277"/>
  <c r="K201"/>
  <c r="K194"/>
  <c r="K187"/>
  <c r="K143"/>
  <c r="K128"/>
  <c r="K121"/>
  <c r="K113"/>
  <c r="G168"/>
  <c r="G165"/>
  <c r="G711"/>
  <c r="G750"/>
  <c r="G184"/>
  <c r="G553" s="1"/>
  <c r="G178"/>
  <c r="G155"/>
  <c r="G177"/>
  <c r="G152"/>
  <c r="G176"/>
  <c r="H162"/>
  <c r="H163"/>
  <c r="H164"/>
  <c r="H169"/>
  <c r="H167"/>
  <c r="K135"/>
  <c r="K136" s="1"/>
  <c r="J136"/>
  <c r="I137"/>
  <c r="I139"/>
  <c r="I138"/>
  <c r="I159"/>
  <c r="K307"/>
  <c r="M283"/>
  <c r="J510"/>
  <c r="J523" s="1"/>
  <c r="J689" s="1"/>
  <c r="J520"/>
  <c r="J509"/>
  <c r="J521" s="1"/>
  <c r="I510"/>
  <c r="I523" s="1"/>
  <c r="I689" s="1"/>
  <c r="I520"/>
  <c r="I509"/>
  <c r="I521" s="1"/>
  <c r="H510"/>
  <c r="H523" s="1"/>
  <c r="H689" s="1"/>
  <c r="H520"/>
  <c r="H509"/>
  <c r="H521" s="1"/>
  <c r="G510"/>
  <c r="G520"/>
  <c r="G509"/>
  <c r="M508"/>
  <c r="F510"/>
  <c r="F523" s="1"/>
  <c r="F689" s="1"/>
  <c r="F509"/>
  <c r="F520"/>
  <c r="K520"/>
  <c r="K510"/>
  <c r="K523" s="1"/>
  <c r="K689" s="1"/>
  <c r="K509"/>
  <c r="K521" s="1"/>
  <c r="K36" i="3"/>
  <c r="M738" i="1"/>
  <c r="K160" i="3"/>
  <c r="K1278" i="1"/>
  <c r="M1278" s="1"/>
  <c r="M863"/>
  <c r="K1124"/>
  <c r="M661"/>
  <c r="K188" i="3"/>
  <c r="K1277" i="1"/>
  <c r="M1277" s="1"/>
  <c r="M880"/>
  <c r="K186" i="3"/>
  <c r="K1276" i="1"/>
  <c r="M1276" s="1"/>
  <c r="M879"/>
  <c r="K173" i="3"/>
  <c r="M871" i="1"/>
  <c r="M647"/>
  <c r="K169" i="3"/>
  <c r="M869" i="1"/>
  <c r="K760"/>
  <c r="K370"/>
  <c r="M370" s="1"/>
  <c r="M379"/>
  <c r="K755"/>
  <c r="K366"/>
  <c r="M366" s="1"/>
  <c r="M376"/>
  <c r="K54" i="3"/>
  <c r="M752" i="1"/>
  <c r="K353"/>
  <c r="M353" s="1"/>
  <c r="K316"/>
  <c r="M310"/>
  <c r="K345"/>
  <c r="M345" s="1"/>
  <c r="K315"/>
  <c r="M309"/>
  <c r="K335"/>
  <c r="M335" s="1"/>
  <c r="K314"/>
  <c r="M308"/>
  <c r="M442"/>
  <c r="K444"/>
  <c r="K445" s="1"/>
  <c r="K492" s="1"/>
  <c r="K949" s="1"/>
  <c r="K267" i="3" s="1"/>
  <c r="K266" s="1"/>
  <c r="K491" i="1"/>
  <c r="M491" s="1"/>
  <c r="M421"/>
  <c r="K423"/>
  <c r="K424" s="1"/>
  <c r="M398"/>
  <c r="K400"/>
  <c r="K401" s="1"/>
  <c r="K467" s="1"/>
  <c r="K466"/>
  <c r="K764"/>
  <c r="M829"/>
  <c r="K177" i="3"/>
  <c r="M873" i="1"/>
  <c r="K21" i="3"/>
  <c r="M690" i="1"/>
  <c r="K573"/>
  <c r="M674"/>
  <c r="K235" i="2"/>
  <c r="M235" s="1"/>
  <c r="M219"/>
  <c r="K562" i="3"/>
  <c r="M562" s="1"/>
  <c r="M181"/>
  <c r="K253" i="2"/>
  <c r="M212"/>
  <c r="M357" i="1"/>
  <c r="M208" i="2"/>
  <c r="M206"/>
  <c r="I131" i="1"/>
  <c r="J130"/>
  <c r="H132"/>
  <c r="H134"/>
  <c r="H133"/>
  <c r="H146"/>
  <c r="K971"/>
  <c r="K306" i="3" s="1"/>
  <c r="K305" s="1"/>
  <c r="K448" i="1"/>
  <c r="K427"/>
  <c r="K404"/>
  <c r="K238"/>
  <c r="K239" s="1"/>
  <c r="M236"/>
  <c r="K237"/>
  <c r="M233"/>
  <c r="K234"/>
  <c r="K213"/>
  <c r="K261" s="1"/>
  <c r="M211"/>
  <c r="K259"/>
  <c r="M259" s="1"/>
  <c r="K212"/>
  <c r="K260" s="1"/>
  <c r="M208"/>
  <c r="K256"/>
  <c r="K209"/>
  <c r="K257" s="1"/>
  <c r="H170"/>
  <c r="G181"/>
  <c r="G555" s="1"/>
  <c r="G183"/>
  <c r="G552" s="1"/>
  <c r="H160"/>
  <c r="K522"/>
  <c r="B451"/>
  <c r="K230" i="2"/>
  <c r="K652" i="1"/>
  <c r="M652" s="1"/>
  <c r="K240" l="1"/>
  <c r="K242" s="1"/>
  <c r="M239"/>
  <c r="M230" i="2"/>
  <c r="G453" i="1"/>
  <c r="G450"/>
  <c r="G452"/>
  <c r="G476" s="1"/>
  <c r="G956" s="1"/>
  <c r="G280" i="3" s="1"/>
  <c r="G279" s="1"/>
  <c r="H453" i="1"/>
  <c r="H452"/>
  <c r="H476" s="1"/>
  <c r="H956" s="1"/>
  <c r="H280" i="3" s="1"/>
  <c r="H279" s="1"/>
  <c r="I453" i="1"/>
  <c r="I452"/>
  <c r="I476" s="1"/>
  <c r="I956" s="1"/>
  <c r="I280" i="3" s="1"/>
  <c r="I279" s="1"/>
  <c r="J453" i="1"/>
  <c r="J452"/>
  <c r="J476" s="1"/>
  <c r="J956" s="1"/>
  <c r="J280" i="3" s="1"/>
  <c r="J279" s="1"/>
  <c r="H450" i="1"/>
  <c r="H763" s="1"/>
  <c r="I450"/>
  <c r="I763" s="1"/>
  <c r="J450"/>
  <c r="J763" s="1"/>
  <c r="K453"/>
  <c r="K452"/>
  <c r="K476" s="1"/>
  <c r="K956" s="1"/>
  <c r="K280" i="3" s="1"/>
  <c r="K279" s="1"/>
  <c r="K450" i="1"/>
  <c r="K763" s="1"/>
  <c r="M522"/>
  <c r="K870"/>
  <c r="G551"/>
  <c r="G943" s="1"/>
  <c r="K306"/>
  <c r="K281"/>
  <c r="M281" s="1"/>
  <c r="M256"/>
  <c r="M404"/>
  <c r="K469"/>
  <c r="M427"/>
  <c r="K482"/>
  <c r="M482" s="1"/>
  <c r="M448"/>
  <c r="K494"/>
  <c r="M494" s="1"/>
  <c r="H149"/>
  <c r="H150"/>
  <c r="H151"/>
  <c r="H156"/>
  <c r="H183" s="1"/>
  <c r="H552" s="1"/>
  <c r="H154"/>
  <c r="H181" s="1"/>
  <c r="H555" s="1"/>
  <c r="H173"/>
  <c r="K130"/>
  <c r="K131" s="1"/>
  <c r="J131"/>
  <c r="I132"/>
  <c r="I134"/>
  <c r="I133"/>
  <c r="I146"/>
  <c r="M253" i="2"/>
  <c r="K256"/>
  <c r="M256" s="1"/>
  <c r="K20" i="3"/>
  <c r="M20" s="1"/>
  <c r="M21"/>
  <c r="K176"/>
  <c r="M176" s="1"/>
  <c r="M177"/>
  <c r="K78"/>
  <c r="M764" i="1"/>
  <c r="M466"/>
  <c r="K954"/>
  <c r="K336"/>
  <c r="M336" s="1"/>
  <c r="M314"/>
  <c r="K346"/>
  <c r="M346" s="1"/>
  <c r="M315"/>
  <c r="K354"/>
  <c r="M354" s="1"/>
  <c r="M316"/>
  <c r="K53" i="3"/>
  <c r="M53" s="1"/>
  <c r="M54"/>
  <c r="K60"/>
  <c r="M755" i="1"/>
  <c r="K70" i="3"/>
  <c r="M760" i="1"/>
  <c r="K168" i="3"/>
  <c r="M169"/>
  <c r="K172"/>
  <c r="M172" s="1"/>
  <c r="M173"/>
  <c r="K185"/>
  <c r="M186"/>
  <c r="K187"/>
  <c r="M188"/>
  <c r="K159"/>
  <c r="M160"/>
  <c r="K35"/>
  <c r="M35" s="1"/>
  <c r="M36"/>
  <c r="K881" i="1"/>
  <c r="K663"/>
  <c r="K756"/>
  <c r="K62" i="3" s="1"/>
  <c r="K61" s="1"/>
  <c r="K367" i="1"/>
  <c r="K511"/>
  <c r="K524" s="1"/>
  <c r="K963" s="1"/>
  <c r="K291" i="3" s="1"/>
  <c r="K290" s="1"/>
  <c r="F521" i="1"/>
  <c r="J511"/>
  <c r="J524" s="1"/>
  <c r="G511"/>
  <c r="G524" s="1"/>
  <c r="H511"/>
  <c r="H524" s="1"/>
  <c r="I511"/>
  <c r="I524" s="1"/>
  <c r="F511"/>
  <c r="F524" s="1"/>
  <c r="F686"/>
  <c r="F694"/>
  <c r="G521"/>
  <c r="M509"/>
  <c r="G756"/>
  <c r="G367"/>
  <c r="M520"/>
  <c r="G523"/>
  <c r="M510"/>
  <c r="H881"/>
  <c r="H663"/>
  <c r="H756"/>
  <c r="H62" i="3" s="1"/>
  <c r="H61" s="1"/>
  <c r="H367" i="1"/>
  <c r="I881"/>
  <c r="I663"/>
  <c r="I756"/>
  <c r="I62" i="3" s="1"/>
  <c r="I61" s="1"/>
  <c r="I367" i="1"/>
  <c r="J881"/>
  <c r="J663"/>
  <c r="J756"/>
  <c r="J62" i="3" s="1"/>
  <c r="J61" s="1"/>
  <c r="J367" i="1"/>
  <c r="M307"/>
  <c r="K753"/>
  <c r="K364"/>
  <c r="M364" s="1"/>
  <c r="I162"/>
  <c r="I163"/>
  <c r="I164"/>
  <c r="I169"/>
  <c r="I167"/>
  <c r="J137"/>
  <c r="J139"/>
  <c r="J138"/>
  <c r="J159"/>
  <c r="K137"/>
  <c r="K159"/>
  <c r="G153"/>
  <c r="G145"/>
  <c r="G179"/>
  <c r="H155"/>
  <c r="G182"/>
  <c r="G556" s="1"/>
  <c r="G50" i="3"/>
  <c r="G1257" i="1"/>
  <c r="G710"/>
  <c r="G166"/>
  <c r="G158"/>
  <c r="K128" i="2"/>
  <c r="M169"/>
  <c r="G673" i="1"/>
  <c r="M242" i="2"/>
  <c r="G554" i="1"/>
  <c r="G966" s="1"/>
  <c r="G297" i="3" s="1"/>
  <c r="G296" s="1"/>
  <c r="I170" i="1"/>
  <c r="K214"/>
  <c r="H147"/>
  <c r="I160"/>
  <c r="H165"/>
  <c r="H157"/>
  <c r="H168"/>
  <c r="I168" s="1"/>
  <c r="K251" l="1"/>
  <c r="K249"/>
  <c r="K244"/>
  <c r="M242"/>
  <c r="K246"/>
  <c r="M246" s="1"/>
  <c r="K245"/>
  <c r="K252"/>
  <c r="K241"/>
  <c r="H184"/>
  <c r="H553" s="1"/>
  <c r="H166"/>
  <c r="H158"/>
  <c r="H174"/>
  <c r="K215"/>
  <c r="K217" s="1"/>
  <c r="M214"/>
  <c r="K262"/>
  <c r="M262" s="1"/>
  <c r="G572"/>
  <c r="K213" i="2"/>
  <c r="M128"/>
  <c r="K121"/>
  <c r="G338" i="1"/>
  <c r="G754"/>
  <c r="G365"/>
  <c r="G49" i="3"/>
  <c r="H182" i="1"/>
  <c r="H556" s="1"/>
  <c r="G843"/>
  <c r="G172"/>
  <c r="G180"/>
  <c r="K169"/>
  <c r="K167"/>
  <c r="K162"/>
  <c r="K164"/>
  <c r="K163"/>
  <c r="J162"/>
  <c r="J163"/>
  <c r="J164"/>
  <c r="J169"/>
  <c r="J167"/>
  <c r="K56" i="3"/>
  <c r="M753" i="1"/>
  <c r="J190" i="3"/>
  <c r="J189" s="1"/>
  <c r="J1129" i="1"/>
  <c r="I190" i="3"/>
  <c r="I189" s="1"/>
  <c r="I1129" i="1"/>
  <c r="H190" i="3"/>
  <c r="H189" s="1"/>
  <c r="H1129" i="1"/>
  <c r="G689"/>
  <c r="M689" s="1"/>
  <c r="M523"/>
  <c r="G62" i="3"/>
  <c r="M756" i="1"/>
  <c r="G881"/>
  <c r="G663"/>
  <c r="M521"/>
  <c r="F691"/>
  <c r="F695"/>
  <c r="F27" i="3"/>
  <c r="F19"/>
  <c r="F963" i="1"/>
  <c r="F944"/>
  <c r="F257" i="3" s="1"/>
  <c r="F256" s="1"/>
  <c r="I944" i="1"/>
  <c r="I257" i="3" s="1"/>
  <c r="I256" s="1"/>
  <c r="I963" i="1"/>
  <c r="H944"/>
  <c r="H257" i="3" s="1"/>
  <c r="H256" s="1"/>
  <c r="H963" i="1"/>
  <c r="G944"/>
  <c r="G257" i="3" s="1"/>
  <c r="G256" s="1"/>
  <c r="G963" i="1"/>
  <c r="J944"/>
  <c r="J257" i="3" s="1"/>
  <c r="J256" s="1"/>
  <c r="J963" i="1"/>
  <c r="F881"/>
  <c r="F663"/>
  <c r="K190" i="3"/>
  <c r="K189" s="1"/>
  <c r="K467" s="1"/>
  <c r="K1129" i="1"/>
  <c r="K566" i="3"/>
  <c r="M566" s="1"/>
  <c r="M159"/>
  <c r="K462"/>
  <c r="K565"/>
  <c r="M565" s="1"/>
  <c r="M187"/>
  <c r="K564"/>
  <c r="M564" s="1"/>
  <c r="M185"/>
  <c r="M168"/>
  <c r="K69"/>
  <c r="M69" s="1"/>
  <c r="M70"/>
  <c r="K59"/>
  <c r="M59" s="1"/>
  <c r="M60"/>
  <c r="K276"/>
  <c r="K275" s="1"/>
  <c r="K77"/>
  <c r="M77" s="1"/>
  <c r="M78"/>
  <c r="I149" i="1"/>
  <c r="I150"/>
  <c r="I177" s="1"/>
  <c r="I151"/>
  <c r="I178" s="1"/>
  <c r="I156"/>
  <c r="I183" s="1"/>
  <c r="I552" s="1"/>
  <c r="I154"/>
  <c r="I181" s="1"/>
  <c r="I555" s="1"/>
  <c r="I173"/>
  <c r="J132"/>
  <c r="J134"/>
  <c r="J133"/>
  <c r="J146"/>
  <c r="K132"/>
  <c r="K146"/>
  <c r="H711"/>
  <c r="H750"/>
  <c r="H551"/>
  <c r="H943" s="1"/>
  <c r="H178"/>
  <c r="H177"/>
  <c r="H152"/>
  <c r="H176"/>
  <c r="K692"/>
  <c r="M469"/>
  <c r="K327"/>
  <c r="M327" s="1"/>
  <c r="K313"/>
  <c r="K305"/>
  <c r="M306"/>
  <c r="G255" i="3"/>
  <c r="G254" s="1"/>
  <c r="G361" s="1"/>
  <c r="G1022" i="1"/>
  <c r="K171" i="3"/>
  <c r="M870" i="1"/>
  <c r="K1264"/>
  <c r="M1264" s="1"/>
  <c r="K76" i="3"/>
  <c r="K75" s="1"/>
  <c r="K475" i="1"/>
  <c r="J76" i="3"/>
  <c r="J75" s="1"/>
  <c r="I76"/>
  <c r="I75" s="1"/>
  <c r="H76"/>
  <c r="H75" s="1"/>
  <c r="J475" i="1"/>
  <c r="I475"/>
  <c r="H475"/>
  <c r="G763"/>
  <c r="M450"/>
  <c r="G455"/>
  <c r="G479" s="1"/>
  <c r="H454"/>
  <c r="G475"/>
  <c r="J168"/>
  <c r="K168" s="1"/>
  <c r="J170"/>
  <c r="K170" s="1"/>
  <c r="K138"/>
  <c r="K160" s="1"/>
  <c r="K139"/>
  <c r="J160"/>
  <c r="M159"/>
  <c r="M164"/>
  <c r="I165"/>
  <c r="M367"/>
  <c r="I147"/>
  <c r="I174" s="1"/>
  <c r="I673" s="1"/>
  <c r="M146"/>
  <c r="H554"/>
  <c r="H966" s="1"/>
  <c r="H297" i="3" s="1"/>
  <c r="H296" s="1"/>
  <c r="M160" i="1" l="1"/>
  <c r="M163"/>
  <c r="K226"/>
  <c r="K273" s="1"/>
  <c r="K564" s="1"/>
  <c r="K224"/>
  <c r="K271" s="1"/>
  <c r="K567" s="1"/>
  <c r="K219"/>
  <c r="M217"/>
  <c r="K221"/>
  <c r="K220"/>
  <c r="K264"/>
  <c r="K227"/>
  <c r="K274" s="1"/>
  <c r="K565" s="1"/>
  <c r="K216"/>
  <c r="K263" s="1"/>
  <c r="K535" s="1"/>
  <c r="I572"/>
  <c r="I166"/>
  <c r="I158"/>
  <c r="H478"/>
  <c r="G955"/>
  <c r="G722"/>
  <c r="G721" s="1"/>
  <c r="G76" i="3"/>
  <c r="G1034" i="1"/>
  <c r="M763"/>
  <c r="K170" i="3"/>
  <c r="M171"/>
  <c r="K1221" i="1"/>
  <c r="M1221" s="1"/>
  <c r="K860"/>
  <c r="K578"/>
  <c r="K965" s="1"/>
  <c r="K295" i="3" s="1"/>
  <c r="M305" i="1"/>
  <c r="K328"/>
  <c r="M328" s="1"/>
  <c r="K312"/>
  <c r="M313"/>
  <c r="K23" i="3"/>
  <c r="M692" i="1"/>
  <c r="K693"/>
  <c r="H153"/>
  <c r="H145"/>
  <c r="H179"/>
  <c r="H255" i="3"/>
  <c r="H254" s="1"/>
  <c r="H1022" i="1"/>
  <c r="H50" i="3"/>
  <c r="H1257" i="1"/>
  <c r="H710"/>
  <c r="K156"/>
  <c r="K183" s="1"/>
  <c r="K552" s="1"/>
  <c r="K154"/>
  <c r="K181" s="1"/>
  <c r="K555" s="1"/>
  <c r="K149"/>
  <c r="K151"/>
  <c r="K178" s="1"/>
  <c r="K150"/>
  <c r="K177" s="1"/>
  <c r="K173"/>
  <c r="J149"/>
  <c r="J150"/>
  <c r="J151"/>
  <c r="J156"/>
  <c r="J183" s="1"/>
  <c r="J552" s="1"/>
  <c r="J154"/>
  <c r="J181" s="1"/>
  <c r="J555" s="1"/>
  <c r="J173"/>
  <c r="I711"/>
  <c r="I750"/>
  <c r="I152"/>
  <c r="I176"/>
  <c r="F659"/>
  <c r="M663"/>
  <c r="F884"/>
  <c r="F190" i="3"/>
  <c r="F1129" i="1"/>
  <c r="M881"/>
  <c r="J291" i="3"/>
  <c r="J290" s="1"/>
  <c r="J961" i="1"/>
  <c r="G291" i="3"/>
  <c r="G290" s="1"/>
  <c r="G961" i="1"/>
  <c r="H291" i="3"/>
  <c r="H290" s="1"/>
  <c r="H961" i="1"/>
  <c r="I291" i="3"/>
  <c r="I290" s="1"/>
  <c r="I961" i="1"/>
  <c r="F291" i="3"/>
  <c r="F290" s="1"/>
  <c r="F961" i="1"/>
  <c r="F18" i="3"/>
  <c r="F26"/>
  <c r="F29"/>
  <c r="F948" i="1"/>
  <c r="F265" i="3" s="1"/>
  <c r="F264" s="1"/>
  <c r="F745" i="1"/>
  <c r="F31" i="3"/>
  <c r="F1224" i="1"/>
  <c r="F1223"/>
  <c r="G190" i="3"/>
  <c r="G189" s="1"/>
  <c r="G1129" i="1"/>
  <c r="G61" i="3"/>
  <c r="M61" s="1"/>
  <c r="M62"/>
  <c r="H467"/>
  <c r="I467"/>
  <c r="J467"/>
  <c r="K55"/>
  <c r="M55" s="1"/>
  <c r="M56"/>
  <c r="J165" i="1"/>
  <c r="M162"/>
  <c r="G683"/>
  <c r="G541"/>
  <c r="G945" s="1"/>
  <c r="G259" i="3" s="1"/>
  <c r="G258" s="1"/>
  <c r="G539" i="1"/>
  <c r="G359"/>
  <c r="G842"/>
  <c r="G545" i="3"/>
  <c r="G58"/>
  <c r="G751" i="1"/>
  <c r="G1012" s="1"/>
  <c r="G374"/>
  <c r="K149" i="2"/>
  <c r="K287" s="1"/>
  <c r="K148"/>
  <c r="K286" s="1"/>
  <c r="K146"/>
  <c r="K142"/>
  <c r="K270" s="1"/>
  <c r="K141"/>
  <c r="K266" s="1"/>
  <c r="K139"/>
  <c r="K267" s="1"/>
  <c r="K138"/>
  <c r="K268" s="1"/>
  <c r="K137"/>
  <c r="M121"/>
  <c r="M213"/>
  <c r="K207"/>
  <c r="H673" i="1"/>
  <c r="M245"/>
  <c r="K250"/>
  <c r="K247"/>
  <c r="M244"/>
  <c r="H455"/>
  <c r="K133"/>
  <c r="K147" s="1"/>
  <c r="K134"/>
  <c r="J147"/>
  <c r="J174" s="1"/>
  <c r="J673" s="1"/>
  <c r="K165"/>
  <c r="G858"/>
  <c r="I155"/>
  <c r="I157"/>
  <c r="K174" l="1"/>
  <c r="K673" s="1"/>
  <c r="M147"/>
  <c r="J157"/>
  <c r="I184"/>
  <c r="I553" s="1"/>
  <c r="I551" s="1"/>
  <c r="I943" s="1"/>
  <c r="J155"/>
  <c r="I182"/>
  <c r="I556" s="1"/>
  <c r="I554" s="1"/>
  <c r="I966" s="1"/>
  <c r="I297" i="3" s="1"/>
  <c r="I296" s="1"/>
  <c r="G150"/>
  <c r="K166" i="1"/>
  <c r="K158"/>
  <c r="J572"/>
  <c r="H479"/>
  <c r="I454"/>
  <c r="K248"/>
  <c r="M248" s="1"/>
  <c r="K228"/>
  <c r="M228" s="1"/>
  <c r="M247"/>
  <c r="H572"/>
  <c r="M673"/>
  <c r="M207" i="2"/>
  <c r="K214"/>
  <c r="K269"/>
  <c r="K144"/>
  <c r="K284"/>
  <c r="K283" s="1"/>
  <c r="K291" s="1"/>
  <c r="K151"/>
  <c r="G52" i="3"/>
  <c r="G758" i="1"/>
  <c r="G57" i="3"/>
  <c r="G765" i="1"/>
  <c r="G381"/>
  <c r="G360"/>
  <c r="G946"/>
  <c r="G261" i="3" s="1"/>
  <c r="G260" s="1"/>
  <c r="G682" i="1"/>
  <c r="J166"/>
  <c r="J158"/>
  <c r="G467" i="3"/>
  <c r="F1243" i="1"/>
  <c r="F1244"/>
  <c r="F30" i="3"/>
  <c r="F862" i="1"/>
  <c r="M29" i="3"/>
  <c r="F28"/>
  <c r="M28" s="1"/>
  <c r="F287"/>
  <c r="F286" s="1"/>
  <c r="F303" s="1"/>
  <c r="F317" s="1"/>
  <c r="F969" i="1"/>
  <c r="F978" s="1"/>
  <c r="I287" i="3"/>
  <c r="I286" s="1"/>
  <c r="H287"/>
  <c r="H286" s="1"/>
  <c r="G287"/>
  <c r="G286" s="1"/>
  <c r="G1023" i="1"/>
  <c r="J287" i="3"/>
  <c r="J286" s="1"/>
  <c r="F189"/>
  <c r="M190"/>
  <c r="I153" i="1"/>
  <c r="I180" s="1"/>
  <c r="I683" s="1"/>
  <c r="I682" s="1"/>
  <c r="I145"/>
  <c r="I172" s="1"/>
  <c r="I179"/>
  <c r="I858" s="1"/>
  <c r="I50" i="3"/>
  <c r="I49" s="1"/>
  <c r="I1257" i="1"/>
  <c r="I710"/>
  <c r="J711"/>
  <c r="J750"/>
  <c r="M173"/>
  <c r="J178"/>
  <c r="M178" s="1"/>
  <c r="M151"/>
  <c r="J177"/>
  <c r="M177" s="1"/>
  <c r="M150"/>
  <c r="J152"/>
  <c r="J176"/>
  <c r="M149"/>
  <c r="K750"/>
  <c r="K711"/>
  <c r="K710" s="1"/>
  <c r="K338" s="1"/>
  <c r="K374" s="1"/>
  <c r="K152"/>
  <c r="K176"/>
  <c r="H338"/>
  <c r="H754"/>
  <c r="H365"/>
  <c r="H49" i="3"/>
  <c r="H843" i="1"/>
  <c r="I843"/>
  <c r="I842" s="1"/>
  <c r="I765" s="1"/>
  <c r="I80" i="3" s="1"/>
  <c r="I79" s="1"/>
  <c r="H172" i="1"/>
  <c r="H180"/>
  <c r="K25" i="3"/>
  <c r="K948" i="1"/>
  <c r="K265" i="3" s="1"/>
  <c r="K264" s="1"/>
  <c r="K22"/>
  <c r="M22" s="1"/>
  <c r="M23"/>
  <c r="K699" i="1"/>
  <c r="M312"/>
  <c r="K154" i="3"/>
  <c r="M860" i="1"/>
  <c r="M170" i="3"/>
  <c r="K552"/>
  <c r="M552" s="1"/>
  <c r="G75"/>
  <c r="M76"/>
  <c r="G762" i="1"/>
  <c r="G575"/>
  <c r="G278" i="3"/>
  <c r="G277" s="1"/>
  <c r="G953" i="1"/>
  <c r="H757"/>
  <c r="H337"/>
  <c r="K947"/>
  <c r="K263" i="3" s="1"/>
  <c r="K262" s="1"/>
  <c r="M264" i="1"/>
  <c r="K845"/>
  <c r="M220"/>
  <c r="K225"/>
  <c r="K272" s="1"/>
  <c r="K568" s="1"/>
  <c r="K267"/>
  <c r="M267" s="1"/>
  <c r="M221"/>
  <c r="K268"/>
  <c r="M268" s="1"/>
  <c r="K222"/>
  <c r="M219"/>
  <c r="K266"/>
  <c r="M266" s="1"/>
  <c r="M165"/>
  <c r="M174"/>
  <c r="M711"/>
  <c r="M750"/>
  <c r="H361" i="3"/>
  <c r="M152" i="1"/>
  <c r="K317"/>
  <c r="K294" i="3"/>
  <c r="M158" i="1"/>
  <c r="M166"/>
  <c r="K566"/>
  <c r="K944" s="1"/>
  <c r="K257" i="3" s="1"/>
  <c r="K256" s="1"/>
  <c r="K563" i="1"/>
  <c r="K962" l="1"/>
  <c r="K373"/>
  <c r="M373" s="1"/>
  <c r="M317"/>
  <c r="K223"/>
  <c r="K203"/>
  <c r="M222"/>
  <c r="K269"/>
  <c r="H368"/>
  <c r="H64" i="3"/>
  <c r="G274"/>
  <c r="G273" s="1"/>
  <c r="G282" s="1"/>
  <c r="G957" i="1"/>
  <c r="G74" i="3"/>
  <c r="M75"/>
  <c r="G373"/>
  <c r="K153"/>
  <c r="M153" s="1"/>
  <c r="M154"/>
  <c r="K754" i="1"/>
  <c r="K365"/>
  <c r="M699"/>
  <c r="K24" i="3"/>
  <c r="M24" s="1"/>
  <c r="M25"/>
  <c r="H683" i="1"/>
  <c r="H359"/>
  <c r="H539"/>
  <c r="H541"/>
  <c r="H945" s="1"/>
  <c r="H259" i="3" s="1"/>
  <c r="H258" s="1"/>
  <c r="H842" i="1"/>
  <c r="H545" i="3"/>
  <c r="H58"/>
  <c r="H751" i="1"/>
  <c r="H374"/>
  <c r="K153"/>
  <c r="K180" s="1"/>
  <c r="K683" s="1"/>
  <c r="K682" s="1"/>
  <c r="K145"/>
  <c r="K172" s="1"/>
  <c r="K179"/>
  <c r="K858" s="1"/>
  <c r="K50" i="3"/>
  <c r="K49" s="1"/>
  <c r="K1257" i="1"/>
  <c r="J153"/>
  <c r="J145"/>
  <c r="J179"/>
  <c r="J50" i="3"/>
  <c r="J1257" i="1"/>
  <c r="M1257" s="1"/>
  <c r="J710"/>
  <c r="I338"/>
  <c r="I374" s="1"/>
  <c r="I754"/>
  <c r="I365"/>
  <c r="I545" i="3"/>
  <c r="I150"/>
  <c r="I149" s="1"/>
  <c r="I359" i="1"/>
  <c r="I541"/>
  <c r="I945" s="1"/>
  <c r="I259" i="3" s="1"/>
  <c r="I258" s="1"/>
  <c r="I539" i="1"/>
  <c r="I17" i="3"/>
  <c r="I16" s="1"/>
  <c r="F467"/>
  <c r="F194"/>
  <c r="M189"/>
  <c r="F158"/>
  <c r="F867" i="1"/>
  <c r="F1249"/>
  <c r="F1248"/>
  <c r="G17" i="3"/>
  <c r="G383" i="1"/>
  <c r="G861"/>
  <c r="G382"/>
  <c r="G371"/>
  <c r="G80" i="3"/>
  <c r="G66"/>
  <c r="G51"/>
  <c r="G351" s="1"/>
  <c r="K217" i="2"/>
  <c r="M214"/>
  <c r="I478" i="1"/>
  <c r="I455"/>
  <c r="H955"/>
  <c r="H722"/>
  <c r="H721" s="1"/>
  <c r="G149" i="3"/>
  <c r="K155" i="1"/>
  <c r="K182" s="1"/>
  <c r="K556" s="1"/>
  <c r="K554" s="1"/>
  <c r="K966" s="1"/>
  <c r="K297" i="3" s="1"/>
  <c r="K296" s="1"/>
  <c r="J182" i="1"/>
  <c r="J556" s="1"/>
  <c r="J554" s="1"/>
  <c r="J966" s="1"/>
  <c r="J297" i="3" s="1"/>
  <c r="J296" s="1"/>
  <c r="I255"/>
  <c r="I254" s="1"/>
  <c r="I361" s="1"/>
  <c r="I1022" i="1"/>
  <c r="K157"/>
  <c r="K184" s="1"/>
  <c r="K553" s="1"/>
  <c r="K551" s="1"/>
  <c r="K943" s="1"/>
  <c r="J184"/>
  <c r="J553" s="1"/>
  <c r="J551" s="1"/>
  <c r="J943" s="1"/>
  <c r="K572"/>
  <c r="H858"/>
  <c r="M176"/>
  <c r="K153" i="2"/>
  <c r="K181" s="1"/>
  <c r="K244" l="1"/>
  <c r="K183"/>
  <c r="M183" s="1"/>
  <c r="M181"/>
  <c r="H150" i="3"/>
  <c r="J255"/>
  <c r="J254" s="1"/>
  <c r="J1022" i="1"/>
  <c r="K255" i="3"/>
  <c r="K254" s="1"/>
  <c r="K361" s="1"/>
  <c r="K1022" i="1"/>
  <c r="H762"/>
  <c r="H575"/>
  <c r="H278" i="3"/>
  <c r="H277" s="1"/>
  <c r="H953" i="1"/>
  <c r="I479"/>
  <c r="J454"/>
  <c r="I337"/>
  <c r="I757"/>
  <c r="K223" i="2"/>
  <c r="M217"/>
  <c r="G65" i="3"/>
  <c r="G79"/>
  <c r="G582" i="1"/>
  <c r="G759"/>
  <c r="G369"/>
  <c r="G362"/>
  <c r="G156" i="3"/>
  <c r="G688" i="1"/>
  <c r="G16" i="3"/>
  <c r="F886" i="1"/>
  <c r="F1123"/>
  <c r="F1134" s="1"/>
  <c r="F1190"/>
  <c r="F157" i="3"/>
  <c r="I946" i="1"/>
  <c r="I261" i="3" s="1"/>
  <c r="I260" s="1"/>
  <c r="I381" i="1"/>
  <c r="I360"/>
  <c r="I383" s="1"/>
  <c r="I688" s="1"/>
  <c r="I58" i="3"/>
  <c r="I57" s="1"/>
  <c r="I751" i="1"/>
  <c r="J338"/>
  <c r="J374" s="1"/>
  <c r="J754"/>
  <c r="J365"/>
  <c r="M365" s="1"/>
  <c r="M710"/>
  <c r="J49" i="3"/>
  <c r="M50"/>
  <c r="J843" i="1"/>
  <c r="M179"/>
  <c r="K843"/>
  <c r="J172"/>
  <c r="M145"/>
  <c r="J180"/>
  <c r="M153"/>
  <c r="K545" i="3"/>
  <c r="K150"/>
  <c r="K149" s="1"/>
  <c r="K359" i="1"/>
  <c r="K541"/>
  <c r="K945" s="1"/>
  <c r="K259" i="3" s="1"/>
  <c r="K258" s="1"/>
  <c r="K539" i="1"/>
  <c r="K17" i="3"/>
  <c r="K16" s="1"/>
  <c r="H52"/>
  <c r="H758" i="1"/>
  <c r="H1012"/>
  <c r="H1023"/>
  <c r="H57" i="3"/>
  <c r="H765" i="1"/>
  <c r="H946"/>
  <c r="H261" i="3" s="1"/>
  <c r="H260" s="1"/>
  <c r="H381" i="1"/>
  <c r="H360"/>
  <c r="H682"/>
  <c r="K58" i="3"/>
  <c r="K57" s="1"/>
  <c r="G73"/>
  <c r="G1020" i="1"/>
  <c r="G359" i="3"/>
  <c r="H63"/>
  <c r="M269" i="1"/>
  <c r="K844"/>
  <c r="M844" s="1"/>
  <c r="M203"/>
  <c r="K254"/>
  <c r="M254" s="1"/>
  <c r="M223"/>
  <c r="K270"/>
  <c r="K289" i="3"/>
  <c r="K288" s="1"/>
  <c r="K961" i="1"/>
  <c r="G362" i="3"/>
  <c r="M338" i="1"/>
  <c r="M374"/>
  <c r="M754"/>
  <c r="K287" i="3" l="1"/>
  <c r="K286" s="1"/>
  <c r="K687" i="1"/>
  <c r="M270"/>
  <c r="H17" i="3"/>
  <c r="H383" i="1"/>
  <c r="H861"/>
  <c r="H382"/>
  <c r="H371"/>
  <c r="H80" i="3"/>
  <c r="H66"/>
  <c r="H51"/>
  <c r="K946" i="1"/>
  <c r="K261" i="3" s="1"/>
  <c r="K260" s="1"/>
  <c r="K360" i="1"/>
  <c r="K383" s="1"/>
  <c r="K688" s="1"/>
  <c r="K381"/>
  <c r="J683"/>
  <c r="M180"/>
  <c r="J359"/>
  <c r="J541"/>
  <c r="J945" s="1"/>
  <c r="J259" i="3" s="1"/>
  <c r="J258" s="1"/>
  <c r="J539" i="1"/>
  <c r="M172"/>
  <c r="J842"/>
  <c r="M843"/>
  <c r="J545" i="3"/>
  <c r="M545" s="1"/>
  <c r="M49"/>
  <c r="J58"/>
  <c r="I52"/>
  <c r="I51" s="1"/>
  <c r="I1023" i="1"/>
  <c r="I758"/>
  <c r="I1012"/>
  <c r="I686"/>
  <c r="I19" i="3" s="1"/>
  <c r="I18" s="1"/>
  <c r="I694" i="1"/>
  <c r="I861"/>
  <c r="I382"/>
  <c r="I371"/>
  <c r="I582" s="1"/>
  <c r="F166" i="3"/>
  <c r="F1135" i="1"/>
  <c r="F1139"/>
  <c r="F887"/>
  <c r="G686"/>
  <c r="G694"/>
  <c r="G155" i="3"/>
  <c r="G68"/>
  <c r="G761" i="1"/>
  <c r="G586"/>
  <c r="K224" i="2"/>
  <c r="M223"/>
  <c r="I64" i="3"/>
  <c r="I368" i="1"/>
  <c r="I362"/>
  <c r="J478"/>
  <c r="J455"/>
  <c r="I955"/>
  <c r="I722"/>
  <c r="I721" s="1"/>
  <c r="H274" i="3"/>
  <c r="H273" s="1"/>
  <c r="H282" s="1"/>
  <c r="H957" i="1"/>
  <c r="H74" i="3"/>
  <c r="H149"/>
  <c r="M244" i="2"/>
  <c r="K247"/>
  <c r="M247" s="1"/>
  <c r="K326" i="1"/>
  <c r="K859"/>
  <c r="K842"/>
  <c r="K765" s="1"/>
  <c r="K80" i="3" s="1"/>
  <c r="K79" s="1"/>
  <c r="J858" i="1"/>
  <c r="J361" i="3"/>
  <c r="J150" l="1"/>
  <c r="M858" i="1"/>
  <c r="K152" i="3"/>
  <c r="M859" i="1"/>
  <c r="K372"/>
  <c r="M326"/>
  <c r="H73" i="3"/>
  <c r="H1020" i="1"/>
  <c r="H359" i="3"/>
  <c r="I762" i="1"/>
  <c r="I575"/>
  <c r="I278" i="3"/>
  <c r="I277" s="1"/>
  <c r="I953" i="1"/>
  <c r="J479"/>
  <c r="K454"/>
  <c r="J757"/>
  <c r="J337"/>
  <c r="I63" i="3"/>
  <c r="K234" i="2"/>
  <c r="M224"/>
  <c r="G72" i="3"/>
  <c r="G1193" i="1"/>
  <c r="G67" i="3"/>
  <c r="G691" i="1"/>
  <c r="G27" i="3"/>
  <c r="G19"/>
  <c r="G836" i="1"/>
  <c r="F942"/>
  <c r="F666"/>
  <c r="F607"/>
  <c r="F640"/>
  <c r="F1140"/>
  <c r="F1136"/>
  <c r="F461" i="3"/>
  <c r="F471" s="1"/>
  <c r="F196"/>
  <c r="F527"/>
  <c r="I586" i="1"/>
  <c r="I759"/>
  <c r="I68" i="3" s="1"/>
  <c r="I67" s="1"/>
  <c r="I369" i="1"/>
  <c r="I156" i="3"/>
  <c r="I155" s="1"/>
  <c r="I691" i="1"/>
  <c r="I27" i="3"/>
  <c r="I26" s="1"/>
  <c r="I761" i="1"/>
  <c r="I66" i="3"/>
  <c r="I65" s="1"/>
  <c r="I351"/>
  <c r="I362"/>
  <c r="J57"/>
  <c r="M57" s="1"/>
  <c r="M58"/>
  <c r="J765" i="1"/>
  <c r="M842"/>
  <c r="J946"/>
  <c r="J261" i="3" s="1"/>
  <c r="J260" s="1"/>
  <c r="J381" i="1"/>
  <c r="J360"/>
  <c r="M359"/>
  <c r="J682"/>
  <c r="M683"/>
  <c r="K382"/>
  <c r="K861"/>
  <c r="K156" i="3" s="1"/>
  <c r="K155" s="1"/>
  <c r="H351"/>
  <c r="H362"/>
  <c r="H65"/>
  <c r="H79"/>
  <c r="H582" i="1"/>
  <c r="H759"/>
  <c r="H369"/>
  <c r="H362"/>
  <c r="H156" i="3"/>
  <c r="H688" i="1"/>
  <c r="H16" i="3"/>
  <c r="K686" i="1"/>
  <c r="K19" i="3" s="1"/>
  <c r="K18" s="1"/>
  <c r="M687" i="1"/>
  <c r="K694"/>
  <c r="K225" i="2"/>
  <c r="M225" l="1"/>
  <c r="K296"/>
  <c r="K298" s="1"/>
  <c r="K300" s="1"/>
  <c r="K27" i="3"/>
  <c r="K26" s="1"/>
  <c r="K691" i="1"/>
  <c r="H686"/>
  <c r="H694"/>
  <c r="H155" i="3"/>
  <c r="H68"/>
  <c r="H761" i="1"/>
  <c r="H586"/>
  <c r="K759"/>
  <c r="K68" i="3" s="1"/>
  <c r="K67" s="1"/>
  <c r="K369" i="1"/>
  <c r="J17" i="3"/>
  <c r="M682" i="1"/>
  <c r="J383"/>
  <c r="M360"/>
  <c r="J861"/>
  <c r="J382"/>
  <c r="J371"/>
  <c r="M381"/>
  <c r="J80" i="3"/>
  <c r="M765" i="1"/>
  <c r="I72" i="3"/>
  <c r="I71" s="1"/>
  <c r="I530" s="1"/>
  <c r="I1193" i="1"/>
  <c r="I571"/>
  <c r="I31" i="3"/>
  <c r="I30" s="1"/>
  <c r="F197"/>
  <c r="F472"/>
  <c r="F476"/>
  <c r="F1144" i="1"/>
  <c r="F253" i="3"/>
  <c r="F252" s="1"/>
  <c r="F1192" i="1"/>
  <c r="F951"/>
  <c r="F959" s="1"/>
  <c r="F979" s="1"/>
  <c r="G766"/>
  <c r="G864"/>
  <c r="G18" i="3"/>
  <c r="G26"/>
  <c r="G571" i="1"/>
  <c r="G31" i="3"/>
  <c r="G71"/>
  <c r="M234" i="2"/>
  <c r="K239"/>
  <c r="J368" i="1"/>
  <c r="J362"/>
  <c r="J64" i="3"/>
  <c r="J751" i="1"/>
  <c r="K478"/>
  <c r="M454"/>
  <c r="K455"/>
  <c r="K479" s="1"/>
  <c r="J955"/>
  <c r="J722"/>
  <c r="J721" s="1"/>
  <c r="I274" i="3"/>
  <c r="I273" s="1"/>
  <c r="I282" s="1"/>
  <c r="I957" i="1"/>
  <c r="I74" i="3"/>
  <c r="K371" i="1"/>
  <c r="K582" s="1"/>
  <c r="M372"/>
  <c r="K151" i="3"/>
  <c r="M152"/>
  <c r="J149"/>
  <c r="M150"/>
  <c r="M149" l="1"/>
  <c r="M151"/>
  <c r="K586" i="1"/>
  <c r="I73" i="3"/>
  <c r="I1020" i="1"/>
  <c r="I359" i="3"/>
  <c r="J762" i="1"/>
  <c r="J575"/>
  <c r="J278" i="3"/>
  <c r="J277" s="1"/>
  <c r="J953" i="1"/>
  <c r="K955"/>
  <c r="K722"/>
  <c r="K721" s="1"/>
  <c r="K757"/>
  <c r="K337"/>
  <c r="M478"/>
  <c r="J52" i="3"/>
  <c r="J1023" i="1"/>
  <c r="J758"/>
  <c r="J1012"/>
  <c r="J63" i="3"/>
  <c r="K258" i="2"/>
  <c r="M239"/>
  <c r="G530" i="3"/>
  <c r="G30"/>
  <c r="G162"/>
  <c r="G82"/>
  <c r="G767" i="1"/>
  <c r="G1015" s="1"/>
  <c r="F529" i="3"/>
  <c r="F271"/>
  <c r="F284" s="1"/>
  <c r="F318" s="1"/>
  <c r="F473"/>
  <c r="F477"/>
  <c r="J79"/>
  <c r="M79" s="1"/>
  <c r="M80"/>
  <c r="J582" i="1"/>
  <c r="M371"/>
  <c r="J759"/>
  <c r="J369"/>
  <c r="M369" s="1"/>
  <c r="M382"/>
  <c r="J156" i="3"/>
  <c r="M861" i="1"/>
  <c r="J688"/>
  <c r="M383"/>
  <c r="J16" i="3"/>
  <c r="M16" s="1"/>
  <c r="M17"/>
  <c r="H72"/>
  <c r="H1193" i="1"/>
  <c r="H67" i="3"/>
  <c r="H691" i="1"/>
  <c r="H27" i="3"/>
  <c r="H19"/>
  <c r="K31"/>
  <c r="K30" s="1"/>
  <c r="K571" i="1"/>
  <c r="H18" i="3" l="1"/>
  <c r="H26"/>
  <c r="H571" i="1"/>
  <c r="H31" i="3"/>
  <c r="H71"/>
  <c r="J686" i="1"/>
  <c r="M688"/>
  <c r="J694"/>
  <c r="J155" i="3"/>
  <c r="M156"/>
  <c r="J68"/>
  <c r="M759" i="1"/>
  <c r="J586"/>
  <c r="F481" i="3"/>
  <c r="G737" i="1"/>
  <c r="G84" i="3"/>
  <c r="G1259" i="1"/>
  <c r="G1258"/>
  <c r="G81" i="3"/>
  <c r="G161"/>
  <c r="M258" i="2"/>
  <c r="K259"/>
  <c r="K264" s="1"/>
  <c r="K273" s="1"/>
  <c r="K281" s="1"/>
  <c r="K301" s="1"/>
  <c r="J761" i="1"/>
  <c r="J66" i="3"/>
  <c r="J51"/>
  <c r="K368" i="1"/>
  <c r="M368" s="1"/>
  <c r="K362"/>
  <c r="M362" s="1"/>
  <c r="M337"/>
  <c r="K64" i="3"/>
  <c r="K751" i="1"/>
  <c r="M757"/>
  <c r="K762"/>
  <c r="K74" i="3" s="1"/>
  <c r="K73" s="1"/>
  <c r="K575" i="1"/>
  <c r="K278" i="3"/>
  <c r="K277" s="1"/>
  <c r="K953" i="1"/>
  <c r="J274" i="3"/>
  <c r="J273" s="1"/>
  <c r="J282" s="1"/>
  <c r="J957" i="1"/>
  <c r="J74" i="3"/>
  <c r="M762" i="1"/>
  <c r="M721"/>
  <c r="J73" i="3" l="1"/>
  <c r="M73" s="1"/>
  <c r="M74"/>
  <c r="J1020" i="1"/>
  <c r="J359" i="3"/>
  <c r="K274"/>
  <c r="K273" s="1"/>
  <c r="K282" s="1"/>
  <c r="K957" i="1"/>
  <c r="K52" i="3"/>
  <c r="K1012" i="1"/>
  <c r="K758"/>
  <c r="K1023"/>
  <c r="M751"/>
  <c r="K63" i="3"/>
  <c r="M63" s="1"/>
  <c r="M64"/>
  <c r="J362"/>
  <c r="J351"/>
  <c r="J65"/>
  <c r="J72"/>
  <c r="J1193" i="1"/>
  <c r="B300" i="2"/>
  <c r="B281"/>
  <c r="G83" i="3"/>
  <c r="G354" s="1"/>
  <c r="G740" i="1"/>
  <c r="G742"/>
  <c r="J67" i="3"/>
  <c r="M67" s="1"/>
  <c r="M68"/>
  <c r="M155"/>
  <c r="J691" i="1"/>
  <c r="J27" i="3"/>
  <c r="M694" i="1"/>
  <c r="J19" i="3"/>
  <c r="M686" i="1"/>
  <c r="H530" i="3"/>
  <c r="H30"/>
  <c r="J18" l="1"/>
  <c r="M18" s="1"/>
  <c r="M19"/>
  <c r="J26"/>
  <c r="M26" s="1"/>
  <c r="M27"/>
  <c r="J571" i="1"/>
  <c r="J31" i="3"/>
  <c r="M691" i="1"/>
  <c r="G743"/>
  <c r="G736" s="1"/>
  <c r="H741"/>
  <c r="G40" i="3"/>
  <c r="G547"/>
  <c r="G546"/>
  <c r="J71"/>
  <c r="K66"/>
  <c r="K761" i="1"/>
  <c r="M758"/>
  <c r="K51" i="3"/>
  <c r="M52"/>
  <c r="K1020" i="1"/>
  <c r="K359" i="3"/>
  <c r="K351" l="1"/>
  <c r="K362"/>
  <c r="M51"/>
  <c r="K72"/>
  <c r="K1193" i="1"/>
  <c r="M761"/>
  <c r="K65" i="3"/>
  <c r="M65" s="1"/>
  <c r="M66"/>
  <c r="J530"/>
  <c r="G39"/>
  <c r="G574" i="1"/>
  <c r="G768"/>
  <c r="G34" i="3"/>
  <c r="G1223" i="1"/>
  <c r="G1224"/>
  <c r="G745"/>
  <c r="J30" i="3"/>
  <c r="M30" s="1"/>
  <c r="M31"/>
  <c r="G862" i="1" l="1"/>
  <c r="G1244"/>
  <c r="G1243"/>
  <c r="G33" i="3"/>
  <c r="G86"/>
  <c r="G769" i="1"/>
  <c r="G964"/>
  <c r="G587"/>
  <c r="G588" s="1"/>
  <c r="G589" s="1"/>
  <c r="G590"/>
  <c r="G591" s="1"/>
  <c r="K71" i="3"/>
  <c r="M72"/>
  <c r="G1013" i="1" l="1"/>
  <c r="G1016"/>
  <c r="K530" i="3"/>
  <c r="M71"/>
  <c r="G872" i="1"/>
  <c r="G650"/>
  <c r="G293" i="3"/>
  <c r="G292" s="1"/>
  <c r="G303" s="1"/>
  <c r="G969" i="1"/>
  <c r="G849"/>
  <c r="G88" i="3"/>
  <c r="G1260" i="1"/>
  <c r="G1011"/>
  <c r="G85" i="3"/>
  <c r="G1248" i="1"/>
  <c r="G1249"/>
  <c r="G158" i="3"/>
  <c r="G867" i="1"/>
  <c r="G1123" l="1"/>
  <c r="G157" i="3"/>
  <c r="G87"/>
  <c r="G42"/>
  <c r="G645" i="1"/>
  <c r="G875"/>
  <c r="G851" s="1"/>
  <c r="G175" i="3"/>
  <c r="G1148" i="1"/>
  <c r="G1149" s="1"/>
  <c r="G1265"/>
  <c r="G352" i="3" l="1"/>
  <c r="G355"/>
  <c r="G44"/>
  <c r="G770" i="1"/>
  <c r="G174" i="3"/>
  <c r="G1125" i="1"/>
  <c r="G41" i="3"/>
  <c r="G882" i="1"/>
  <c r="G90" i="3"/>
  <c r="G664" i="1"/>
  <c r="G1261"/>
  <c r="G771"/>
  <c r="G43" i="3"/>
  <c r="G548"/>
  <c r="G350"/>
  <c r="G166"/>
  <c r="G1190" i="1"/>
  <c r="G1134"/>
  <c r="G1135" l="1"/>
  <c r="G1139"/>
  <c r="G461" i="3"/>
  <c r="G772" i="1"/>
  <c r="G92" i="3"/>
  <c r="G659" i="1"/>
  <c r="G89" i="3"/>
  <c r="G192"/>
  <c r="G1191" i="1"/>
  <c r="G884"/>
  <c r="G179" i="3"/>
  <c r="G553"/>
  <c r="G485"/>
  <c r="G486" s="1"/>
  <c r="G463" l="1"/>
  <c r="G886" i="1"/>
  <c r="G191" i="3"/>
  <c r="G549"/>
  <c r="G91"/>
  <c r="G974" i="1"/>
  <c r="G94" i="3"/>
  <c r="G1140" i="1"/>
  <c r="G1136"/>
  <c r="G527" i="3"/>
  <c r="G471"/>
  <c r="G472" l="1"/>
  <c r="G476"/>
  <c r="G1144" i="1"/>
  <c r="G311" i="3"/>
  <c r="G310" s="1"/>
  <c r="G315" s="1"/>
  <c r="G976" i="1"/>
  <c r="G93" i="3"/>
  <c r="G528"/>
  <c r="G194"/>
  <c r="G887" i="1"/>
  <c r="H836" l="1"/>
  <c r="G942"/>
  <c r="G666"/>
  <c r="G607"/>
  <c r="G640"/>
  <c r="G196" i="3"/>
  <c r="G1019" i="1"/>
  <c r="G1010"/>
  <c r="G1192"/>
  <c r="G978"/>
  <c r="G1031"/>
  <c r="G358" i="3"/>
  <c r="G349"/>
  <c r="G317"/>
  <c r="G370"/>
  <c r="G473"/>
  <c r="G1027" i="1" l="1"/>
  <c r="G1026"/>
  <c r="G481" i="3"/>
  <c r="G371"/>
  <c r="G369"/>
  <c r="G1032" i="1"/>
  <c r="G1030"/>
  <c r="G197" i="3"/>
  <c r="G253"/>
  <c r="G252" s="1"/>
  <c r="G951" i="1"/>
  <c r="G1025" s="1"/>
  <c r="H766"/>
  <c r="H864"/>
  <c r="G366" i="3" l="1"/>
  <c r="G365"/>
  <c r="H162"/>
  <c r="H82"/>
  <c r="H767" i="1"/>
  <c r="G959"/>
  <c r="G1028"/>
  <c r="G271" i="3"/>
  <c r="G364" s="1"/>
  <c r="G529"/>
  <c r="G477"/>
  <c r="G284" l="1"/>
  <c r="G367"/>
  <c r="G1018" i="1"/>
  <c r="G1009"/>
  <c r="G979"/>
  <c r="H737"/>
  <c r="H84" i="3"/>
  <c r="H1258" i="1"/>
  <c r="H1259"/>
  <c r="H1034"/>
  <c r="H1015"/>
  <c r="H81" i="3"/>
  <c r="H161"/>
  <c r="H83" l="1"/>
  <c r="H740" i="1"/>
  <c r="H742"/>
  <c r="G357" i="3"/>
  <c r="G348"/>
  <c r="G318"/>
  <c r="H743" i="1" l="1"/>
  <c r="H736" s="1"/>
  <c r="I741"/>
  <c r="H40" i="3"/>
  <c r="H547"/>
  <c r="H546"/>
  <c r="H373"/>
  <c r="H354"/>
  <c r="H39" l="1"/>
  <c r="H574" i="1"/>
  <c r="H768"/>
  <c r="H34" i="3"/>
  <c r="H1223" i="1"/>
  <c r="H1224"/>
  <c r="H745"/>
  <c r="H862" l="1"/>
  <c r="H1244"/>
  <c r="H1243"/>
  <c r="H33" i="3"/>
  <c r="H86"/>
  <c r="H769" i="1"/>
  <c r="H964"/>
  <c r="H587"/>
  <c r="H588" s="1"/>
  <c r="H589" s="1"/>
  <c r="H590"/>
  <c r="H591" s="1"/>
  <c r="H872" l="1"/>
  <c r="H650"/>
  <c r="H293" i="3"/>
  <c r="H292" s="1"/>
  <c r="H303" s="1"/>
  <c r="H969" i="1"/>
  <c r="H849"/>
  <c r="H88" i="3"/>
  <c r="H1260" i="1"/>
  <c r="H1013"/>
  <c r="H1016"/>
  <c r="H1011"/>
  <c r="H85" i="3"/>
  <c r="H1248" i="1"/>
  <c r="H1249"/>
  <c r="H158" i="3"/>
  <c r="H867" i="1"/>
  <c r="H1123" l="1"/>
  <c r="H157" i="3"/>
  <c r="H87"/>
  <c r="H42"/>
  <c r="H645" i="1"/>
  <c r="H875"/>
  <c r="H851" s="1"/>
  <c r="H175" i="3"/>
  <c r="H1148" i="1"/>
  <c r="H1149" s="1"/>
  <c r="H1265"/>
  <c r="H44" i="3" l="1"/>
  <c r="H770" i="1"/>
  <c r="H174" i="3"/>
  <c r="H1125" i="1"/>
  <c r="H882"/>
  <c r="H90" i="3"/>
  <c r="H664" i="1"/>
  <c r="H1261"/>
  <c r="H771"/>
  <c r="H41" i="3"/>
  <c r="H43"/>
  <c r="H548"/>
  <c r="H352"/>
  <c r="H350"/>
  <c r="H355"/>
  <c r="H166"/>
  <c r="H1190" i="1"/>
  <c r="H1134"/>
  <c r="H1135" l="1"/>
  <c r="H1139"/>
  <c r="H461" i="3"/>
  <c r="H92"/>
  <c r="H772" i="1"/>
  <c r="H659"/>
  <c r="H89" i="3"/>
  <c r="H192"/>
  <c r="H1191" i="1"/>
  <c r="H884"/>
  <c r="H179" i="3"/>
  <c r="H553"/>
  <c r="H485"/>
  <c r="H486" s="1"/>
  <c r="H463" l="1"/>
  <c r="H886" i="1"/>
  <c r="H191" i="3"/>
  <c r="H549"/>
  <c r="H91"/>
  <c r="H974" i="1"/>
  <c r="H94" i="3"/>
  <c r="H1140" i="1"/>
  <c r="H1136"/>
  <c r="H527" i="3"/>
  <c r="H471"/>
  <c r="H472" l="1"/>
  <c r="H476"/>
  <c r="H1144" i="1"/>
  <c r="H311" i="3"/>
  <c r="H310" s="1"/>
  <c r="H315" s="1"/>
  <c r="H976" i="1"/>
  <c r="H93" i="3"/>
  <c r="H528"/>
  <c r="H194"/>
  <c r="H1033" i="1"/>
  <c r="H1280" s="1"/>
  <c r="H887"/>
  <c r="I836" l="1"/>
  <c r="H942"/>
  <c r="H666"/>
  <c r="H607"/>
  <c r="H640"/>
  <c r="H196" i="3"/>
  <c r="H1192" i="1"/>
  <c r="H1019"/>
  <c r="H1010"/>
  <c r="H978"/>
  <c r="H1031"/>
  <c r="H358" i="3"/>
  <c r="H349"/>
  <c r="H317"/>
  <c r="H370"/>
  <c r="H473"/>
  <c r="H1026" i="1" l="1"/>
  <c r="H1027"/>
  <c r="H481" i="3"/>
  <c r="H369"/>
  <c r="H371"/>
  <c r="H1032" i="1"/>
  <c r="H1030"/>
  <c r="H372" i="3"/>
  <c r="H568" s="1"/>
  <c r="H197"/>
  <c r="H253"/>
  <c r="H252" s="1"/>
  <c r="H951" i="1"/>
  <c r="H1025" s="1"/>
  <c r="I766"/>
  <c r="I864"/>
  <c r="H365" i="3" l="1"/>
  <c r="H366"/>
  <c r="I162"/>
  <c r="I82"/>
  <c r="I767" i="1"/>
  <c r="H959"/>
  <c r="H1028"/>
  <c r="H271" i="3"/>
  <c r="H364" s="1"/>
  <c r="H529"/>
  <c r="H477"/>
  <c r="H284" l="1"/>
  <c r="H367"/>
  <c r="H1018" i="1"/>
  <c r="H1009"/>
  <c r="H979"/>
  <c r="I737"/>
  <c r="I84" i="3"/>
  <c r="I1258" i="1"/>
  <c r="I1259"/>
  <c r="I1034"/>
  <c r="I1015"/>
  <c r="I81" i="3"/>
  <c r="I161"/>
  <c r="I83" l="1"/>
  <c r="I740" i="1"/>
  <c r="I742"/>
  <c r="H357" i="3"/>
  <c r="H348"/>
  <c r="H318"/>
  <c r="I743" i="1" l="1"/>
  <c r="I736" s="1"/>
  <c r="J741"/>
  <c r="I40" i="3"/>
  <c r="I547"/>
  <c r="I546"/>
  <c r="I373"/>
  <c r="I354"/>
  <c r="I39" l="1"/>
  <c r="I574" i="1"/>
  <c r="I768"/>
  <c r="I34" i="3"/>
  <c r="I1223" i="1"/>
  <c r="I1224"/>
  <c r="I745"/>
  <c r="I862" l="1"/>
  <c r="I1244"/>
  <c r="I1243"/>
  <c r="I33" i="3"/>
  <c r="I86"/>
  <c r="I769" i="1"/>
  <c r="I964"/>
  <c r="I587"/>
  <c r="I588" s="1"/>
  <c r="I589" s="1"/>
  <c r="I590"/>
  <c r="I591" s="1"/>
  <c r="I872" l="1"/>
  <c r="I650"/>
  <c r="I293" i="3"/>
  <c r="I292" s="1"/>
  <c r="I303" s="1"/>
  <c r="I969" i="1"/>
  <c r="I849"/>
  <c r="I88" i="3"/>
  <c r="I1260" i="1"/>
  <c r="I1013"/>
  <c r="I1016"/>
  <c r="I1011"/>
  <c r="I85" i="3"/>
  <c r="I1248" i="1"/>
  <c r="I1249"/>
  <c r="I158" i="3"/>
  <c r="I867" i="1"/>
  <c r="I1123" l="1"/>
  <c r="I157" i="3"/>
  <c r="I87"/>
  <c r="I42"/>
  <c r="I645" i="1"/>
  <c r="I875"/>
  <c r="I851" s="1"/>
  <c r="I175" i="3"/>
  <c r="I1148" i="1"/>
  <c r="I1149" s="1"/>
  <c r="I1265"/>
  <c r="I44" i="3" l="1"/>
  <c r="I770" i="1"/>
  <c r="I174" i="3"/>
  <c r="I1125" i="1"/>
  <c r="I882"/>
  <c r="I90" i="3"/>
  <c r="I664" i="1"/>
  <c r="I1261"/>
  <c r="I771"/>
  <c r="I41" i="3"/>
  <c r="I43"/>
  <c r="I548"/>
  <c r="I352"/>
  <c r="I355"/>
  <c r="I350"/>
  <c r="I166"/>
  <c r="I1190" i="1"/>
  <c r="I1134"/>
  <c r="I1135" l="1"/>
  <c r="I1139"/>
  <c r="I461" i="3"/>
  <c r="I92"/>
  <c r="I772" i="1"/>
  <c r="I659"/>
  <c r="I89" i="3"/>
  <c r="I192"/>
  <c r="I1191" i="1"/>
  <c r="I884"/>
  <c r="I179" i="3"/>
  <c r="I553"/>
  <c r="I485"/>
  <c r="I486" s="1"/>
  <c r="I463" l="1"/>
  <c r="I886" i="1"/>
  <c r="I191" i="3"/>
  <c r="I549"/>
  <c r="I91"/>
  <c r="I974" i="1"/>
  <c r="I94" i="3"/>
  <c r="I1140" i="1"/>
  <c r="I1136"/>
  <c r="I527" i="3"/>
  <c r="I471"/>
  <c r="I472" l="1"/>
  <c r="I476"/>
  <c r="I1144" i="1"/>
  <c r="I311" i="3"/>
  <c r="I310" s="1"/>
  <c r="I315" s="1"/>
  <c r="I976" i="1"/>
  <c r="I93" i="3"/>
  <c r="I528"/>
  <c r="I194"/>
  <c r="I1033" i="1"/>
  <c r="I1280" s="1"/>
  <c r="I887"/>
  <c r="J836" l="1"/>
  <c r="I942"/>
  <c r="I666"/>
  <c r="I607"/>
  <c r="I640"/>
  <c r="I196" i="3"/>
  <c r="I1192" i="1"/>
  <c r="I1019"/>
  <c r="I1010"/>
  <c r="I1031"/>
  <c r="I978"/>
  <c r="I358" i="3"/>
  <c r="I349"/>
  <c r="I370"/>
  <c r="I317"/>
  <c r="I473"/>
  <c r="I481" l="1"/>
  <c r="I369"/>
  <c r="I371"/>
  <c r="I1032" i="1"/>
  <c r="I1030"/>
  <c r="I372" i="3"/>
  <c r="I568" s="1"/>
  <c r="I197"/>
  <c r="I253"/>
  <c r="I252" s="1"/>
  <c r="I951" i="1"/>
  <c r="I1026"/>
  <c r="I1027"/>
  <c r="J766"/>
  <c r="J864"/>
  <c r="J162" i="3" l="1"/>
  <c r="J82"/>
  <c r="J767" i="1"/>
  <c r="I959"/>
  <c r="I1028"/>
  <c r="I1025"/>
  <c r="I271" i="3"/>
  <c r="I365"/>
  <c r="I366"/>
  <c r="I529"/>
  <c r="I477"/>
  <c r="I284" l="1"/>
  <c r="I367"/>
  <c r="I364"/>
  <c r="I1018" i="1"/>
  <c r="I1009"/>
  <c r="I979"/>
  <c r="J737"/>
  <c r="J84" i="3"/>
  <c r="J1258" i="1"/>
  <c r="J1259"/>
  <c r="J1034"/>
  <c r="J1015"/>
  <c r="J81" i="3"/>
  <c r="J161"/>
  <c r="J83" l="1"/>
  <c r="J740" i="1"/>
  <c r="J742"/>
  <c r="I357" i="3"/>
  <c r="I348"/>
  <c r="I318"/>
  <c r="J743" i="1" l="1"/>
  <c r="J736" s="1"/>
  <c r="J40" i="3"/>
  <c r="K741" i="1"/>
  <c r="J547" i="3"/>
  <c r="J546"/>
  <c r="J373"/>
  <c r="J354"/>
  <c r="J39" l="1"/>
  <c r="J574" i="1"/>
  <c r="J768"/>
  <c r="J34" i="3"/>
  <c r="J1223" i="1"/>
  <c r="J1224"/>
  <c r="J745"/>
  <c r="J862" l="1"/>
  <c r="J1244"/>
  <c r="J1243"/>
  <c r="J33" i="3"/>
  <c r="J86"/>
  <c r="J769" i="1"/>
  <c r="J964"/>
  <c r="J587"/>
  <c r="J588" s="1"/>
  <c r="J589" s="1"/>
  <c r="J590"/>
  <c r="J591" s="1"/>
  <c r="J872" l="1"/>
  <c r="J650"/>
  <c r="J293" i="3"/>
  <c r="J292" s="1"/>
  <c r="J303" s="1"/>
  <c r="J969" i="1"/>
  <c r="J849"/>
  <c r="J88" i="3"/>
  <c r="J1260" i="1"/>
  <c r="J1013"/>
  <c r="J1016"/>
  <c r="J1011"/>
  <c r="J85" i="3"/>
  <c r="J1248" i="1"/>
  <c r="J1249"/>
  <c r="J158" i="3"/>
  <c r="J867" i="1"/>
  <c r="J1123" l="1"/>
  <c r="J157" i="3"/>
  <c r="J87"/>
  <c r="J42"/>
  <c r="J645" i="1"/>
  <c r="J875"/>
  <c r="J851" s="1"/>
  <c r="J175" i="3"/>
  <c r="J1148" i="1"/>
  <c r="J1149" s="1"/>
  <c r="J1265"/>
  <c r="J44" i="3" l="1"/>
  <c r="J770" i="1"/>
  <c r="J174" i="3"/>
  <c r="J1125" i="1"/>
  <c r="J882"/>
  <c r="J90" i="3"/>
  <c r="J664" i="1"/>
  <c r="J1261"/>
  <c r="J771"/>
  <c r="J41" i="3"/>
  <c r="J43"/>
  <c r="J548"/>
  <c r="J352"/>
  <c r="J350"/>
  <c r="J355"/>
  <c r="J166"/>
  <c r="J1190" i="1"/>
  <c r="J1134"/>
  <c r="J1135" l="1"/>
  <c r="J1139"/>
  <c r="J461" i="3"/>
  <c r="J92"/>
  <c r="J772" i="1"/>
  <c r="J659"/>
  <c r="J89" i="3"/>
  <c r="J192"/>
  <c r="J1191" i="1"/>
  <c r="J884"/>
  <c r="J886" s="1"/>
  <c r="J179" i="3"/>
  <c r="J553"/>
  <c r="J485"/>
  <c r="J486" s="1"/>
  <c r="J463" l="1"/>
  <c r="J1033" i="1"/>
  <c r="J1280" s="1"/>
  <c r="J887"/>
  <c r="J191" i="3"/>
  <c r="J549"/>
  <c r="J91"/>
  <c r="J974" i="1"/>
  <c r="J94" i="3"/>
  <c r="J1140" i="1"/>
  <c r="J1136"/>
  <c r="J527" i="3"/>
  <c r="J471"/>
  <c r="J472" l="1"/>
  <c r="J476"/>
  <c r="J1144" i="1"/>
  <c r="J311" i="3"/>
  <c r="J310" s="1"/>
  <c r="J315" s="1"/>
  <c r="J976" i="1"/>
  <c r="J93" i="3"/>
  <c r="J528"/>
  <c r="J194"/>
  <c r="J196" s="1"/>
  <c r="K836" i="1"/>
  <c r="J942"/>
  <c r="J666"/>
  <c r="J607"/>
  <c r="J640"/>
  <c r="J253" i="3" l="1"/>
  <c r="J252" s="1"/>
  <c r="J951" i="1"/>
  <c r="J1026"/>
  <c r="J1027"/>
  <c r="K864"/>
  <c r="K766"/>
  <c r="M836"/>
  <c r="J372" i="3"/>
  <c r="J568" s="1"/>
  <c r="J197"/>
  <c r="J1192" i="1"/>
  <c r="J1019"/>
  <c r="J1010"/>
  <c r="J1031"/>
  <c r="J978"/>
  <c r="J358" i="3"/>
  <c r="J349"/>
  <c r="J529"/>
  <c r="J370"/>
  <c r="J317"/>
  <c r="J473"/>
  <c r="J481" l="1"/>
  <c r="J369"/>
  <c r="J371"/>
  <c r="J1032" i="1"/>
  <c r="J1030"/>
  <c r="J477" i="3"/>
  <c r="K82"/>
  <c r="K767" i="1"/>
  <c r="M766"/>
  <c r="K162" i="3"/>
  <c r="M864" i="1"/>
  <c r="J959"/>
  <c r="J1028"/>
  <c r="J1025"/>
  <c r="J271" i="3"/>
  <c r="J365"/>
  <c r="J366"/>
  <c r="J284" l="1"/>
  <c r="J367"/>
  <c r="J364"/>
  <c r="J1018" i="1"/>
  <c r="J1009"/>
  <c r="K161" i="3"/>
  <c r="M161" s="1"/>
  <c r="M162"/>
  <c r="K84"/>
  <c r="K1259" i="1"/>
  <c r="M1259" s="1"/>
  <c r="K1258"/>
  <c r="M1258" s="1"/>
  <c r="K737"/>
  <c r="K1034"/>
  <c r="K1015"/>
  <c r="M767"/>
  <c r="K81" i="3"/>
  <c r="M81" s="1"/>
  <c r="M82"/>
  <c r="J979" i="1"/>
  <c r="K740" l="1"/>
  <c r="M737"/>
  <c r="K83" i="3"/>
  <c r="M84"/>
  <c r="J357"/>
  <c r="J348"/>
  <c r="J318"/>
  <c r="K547" l="1"/>
  <c r="M547" s="1"/>
  <c r="K546"/>
  <c r="M546" s="1"/>
  <c r="K373"/>
  <c r="K354"/>
  <c r="M83"/>
  <c r="K40"/>
  <c r="M739" i="1"/>
  <c r="K742"/>
  <c r="K743" s="1"/>
  <c r="K736" s="1"/>
  <c r="K34" i="3" l="1"/>
  <c r="K768" i="1"/>
  <c r="K574"/>
  <c r="K1224"/>
  <c r="K1223"/>
  <c r="K745"/>
  <c r="M736"/>
  <c r="K39" i="3"/>
  <c r="M39" s="1"/>
  <c r="M40"/>
  <c r="K862" i="1" l="1"/>
  <c r="M745"/>
  <c r="K1243"/>
  <c r="M1223"/>
  <c r="K1244"/>
  <c r="M1224"/>
  <c r="K964"/>
  <c r="K587"/>
  <c r="K588" s="1"/>
  <c r="K589" s="1"/>
  <c r="M589" s="1"/>
  <c r="K590"/>
  <c r="K591" s="1"/>
  <c r="K86" i="3"/>
  <c r="M768" i="1"/>
  <c r="K769"/>
  <c r="K33" i="3"/>
  <c r="M33" s="1"/>
  <c r="M34"/>
  <c r="K88" l="1"/>
  <c r="M88" s="1"/>
  <c r="K1260" i="1"/>
  <c r="M1260" s="1"/>
  <c r="K849"/>
  <c r="K1013"/>
  <c r="K1016"/>
  <c r="K1011"/>
  <c r="M769"/>
  <c r="K85" i="3"/>
  <c r="M86"/>
  <c r="K872" i="1"/>
  <c r="K650"/>
  <c r="M591"/>
  <c r="K293" i="3"/>
  <c r="K292" s="1"/>
  <c r="K303" s="1"/>
  <c r="K969" i="1"/>
  <c r="K1249"/>
  <c r="M1249" s="1"/>
  <c r="B1252" s="1"/>
  <c r="M1244"/>
  <c r="K1248"/>
  <c r="M1248" s="1"/>
  <c r="B1251" s="1"/>
  <c r="M1243"/>
  <c r="K158" i="3"/>
  <c r="K867" i="1"/>
  <c r="M862"/>
  <c r="K1123" l="1"/>
  <c r="M867"/>
  <c r="K157" i="3"/>
  <c r="M158"/>
  <c r="K645" i="1"/>
  <c r="M645" s="1"/>
  <c r="M650"/>
  <c r="K175" i="3"/>
  <c r="K1265" i="1"/>
  <c r="M1265" s="1"/>
  <c r="K1148"/>
  <c r="K1149" s="1"/>
  <c r="M1149" s="1"/>
  <c r="K875"/>
  <c r="K851" s="1"/>
  <c r="M872"/>
  <c r="M85" i="3"/>
  <c r="K87"/>
  <c r="K42"/>
  <c r="M849" i="1"/>
  <c r="K770" l="1"/>
  <c r="K44" i="3"/>
  <c r="M851" i="1"/>
  <c r="K43" i="3"/>
  <c r="M43" s="1"/>
  <c r="M44"/>
  <c r="K90"/>
  <c r="K1261" i="1"/>
  <c r="M1261" s="1"/>
  <c r="K882"/>
  <c r="K664"/>
  <c r="M770"/>
  <c r="K771"/>
  <c r="K41" i="3"/>
  <c r="M41" s="1"/>
  <c r="M42"/>
  <c r="K548"/>
  <c r="M548" s="1"/>
  <c r="K352"/>
  <c r="K350"/>
  <c r="K355"/>
  <c r="M87"/>
  <c r="K1125" i="1"/>
  <c r="M875"/>
  <c r="K174" i="3"/>
  <c r="M175"/>
  <c r="K166"/>
  <c r="M157"/>
  <c r="K1134" i="1"/>
  <c r="K1190"/>
  <c r="M1190" s="1"/>
  <c r="B1200" l="1"/>
  <c r="K1135"/>
  <c r="E1145"/>
  <c r="B1145" s="1"/>
  <c r="B1270" s="1"/>
  <c r="E1151"/>
  <c r="B1151" s="1"/>
  <c r="K1139"/>
  <c r="K1140" s="1"/>
  <c r="E1140" s="1"/>
  <c r="B1138" s="1"/>
  <c r="C1138" s="1"/>
  <c r="K461" i="3"/>
  <c r="M166"/>
  <c r="K553"/>
  <c r="M553" s="1"/>
  <c r="K485"/>
  <c r="K486" s="1"/>
  <c r="M486" s="1"/>
  <c r="K179"/>
  <c r="M174"/>
  <c r="K92"/>
  <c r="M92" s="1"/>
  <c r="M771" i="1"/>
  <c r="K772"/>
  <c r="K659"/>
  <c r="M659" s="1"/>
  <c r="M664"/>
  <c r="K192" i="3"/>
  <c r="K1191" i="1"/>
  <c r="M1191" s="1"/>
  <c r="B1201" s="1"/>
  <c r="K884"/>
  <c r="M882"/>
  <c r="K89" i="3"/>
  <c r="M90"/>
  <c r="K549" l="1"/>
  <c r="M549" s="1"/>
  <c r="M89"/>
  <c r="K91"/>
  <c r="M884" i="1"/>
  <c r="K886"/>
  <c r="K191" i="3"/>
  <c r="M192"/>
  <c r="K94"/>
  <c r="K974" i="1"/>
  <c r="K463" i="3"/>
  <c r="M179"/>
  <c r="M1135" i="1"/>
  <c r="B1142" s="1"/>
  <c r="K1136"/>
  <c r="K1144" s="1"/>
  <c r="E1144" s="1"/>
  <c r="B1143" s="1"/>
  <c r="K471" i="3"/>
  <c r="K527"/>
  <c r="M527" s="1"/>
  <c r="B1199" i="1"/>
  <c r="B537" i="3" l="1"/>
  <c r="K472"/>
  <c r="E482"/>
  <c r="B482" s="1"/>
  <c r="B558" s="1"/>
  <c r="E488"/>
  <c r="B488" s="1"/>
  <c r="K476"/>
  <c r="C1143" i="1"/>
  <c r="C1271" s="1"/>
  <c r="B1271"/>
  <c r="B1269"/>
  <c r="B1147"/>
  <c r="K311" i="3"/>
  <c r="K310" s="1"/>
  <c r="K315" s="1"/>
  <c r="K976" i="1"/>
  <c r="K528" i="3"/>
  <c r="M528" s="1"/>
  <c r="B538" s="1"/>
  <c r="K194"/>
  <c r="M191"/>
  <c r="K1033" i="1"/>
  <c r="K1280" s="1"/>
  <c r="M886"/>
  <c r="K887"/>
  <c r="M91" i="3"/>
  <c r="K93"/>
  <c r="K942" i="1" l="1"/>
  <c r="K666"/>
  <c r="B667" s="1"/>
  <c r="K640"/>
  <c r="K607"/>
  <c r="M194" i="3"/>
  <c r="K196"/>
  <c r="K1192" i="1"/>
  <c r="B1197" s="1"/>
  <c r="B1203" s="1"/>
  <c r="K1019"/>
  <c r="K1010"/>
  <c r="K1031"/>
  <c r="K978"/>
  <c r="K358" i="3"/>
  <c r="K349"/>
  <c r="K370"/>
  <c r="K317"/>
  <c r="M472"/>
  <c r="B479" s="1"/>
  <c r="K473"/>
  <c r="K481" s="1"/>
  <c r="E481" s="1"/>
  <c r="B480" s="1"/>
  <c r="B536"/>
  <c r="B559" l="1"/>
  <c r="C480"/>
  <c r="B557"/>
  <c r="B484"/>
  <c r="K371"/>
  <c r="K369"/>
  <c r="K1032" i="1"/>
  <c r="K1030"/>
  <c r="K372" i="3"/>
  <c r="K568" s="1"/>
  <c r="M196"/>
  <c r="K197"/>
  <c r="K477" s="1"/>
  <c r="E477" s="1"/>
  <c r="B475" s="1"/>
  <c r="C475" s="1"/>
  <c r="K253"/>
  <c r="K252" s="1"/>
  <c r="K951" i="1"/>
  <c r="K1027"/>
  <c r="K1026"/>
  <c r="K1028" l="1"/>
  <c r="K959"/>
  <c r="K1025"/>
  <c r="K271" i="3"/>
  <c r="K366"/>
  <c r="K365"/>
  <c r="K529"/>
  <c r="B534" s="1"/>
  <c r="B540" s="1"/>
  <c r="K367" l="1"/>
  <c r="K284"/>
  <c r="K364"/>
  <c r="K1018" i="1"/>
  <c r="K1009"/>
  <c r="K979"/>
  <c r="B959" l="1"/>
  <c r="B978"/>
  <c r="K357" i="3"/>
  <c r="K348"/>
  <c r="K318"/>
  <c r="B284" l="1"/>
  <c r="B317"/>
</calcChain>
</file>

<file path=xl/comments1.xml><?xml version="1.0" encoding="utf-8"?>
<comments xmlns="http://schemas.openxmlformats.org/spreadsheetml/2006/main">
  <authors>
    <author>АИ</author>
  </authors>
  <commentList>
    <comment ref="F10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</commentList>
</comments>
</file>

<file path=xl/comments2.xml><?xml version="1.0" encoding="utf-8"?>
<comments xmlns="http://schemas.openxmlformats.org/spreadsheetml/2006/main">
  <authors>
    <author>АИ</author>
  </authors>
  <commentList>
    <comment ref="F8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>План реализации описывается  номинальным (плановым) объемом 
реализации и графиком выхода на плановые продажи (в виде
% от планового объема, заданного для каждого периода).
Здесь же можно описать сезонность продаж, устанавливая 
соответствующие значения % от планового объема для каждого 
периода проекта.
На основе этих данных программа строит таблицу ОБЪЕМЫ
РЕАЛИЗАЦИИ.</t>
        </r>
      </text>
    </comment>
    <comment ref="A121" authorId="0">
      <text>
        <r>
          <rPr>
            <sz val="8"/>
            <color indexed="81"/>
            <rFont val="Tahoma"/>
            <family val="2"/>
            <charset val="204"/>
          </rPr>
          <t>Эти данные заполняются автоматически, на основе ПЛАНА
РЕАЛИЗАЦИИ. Но если данные о продажах удобнее вводить
в форме конкретных значений продаж для каждого 
периода, то можно редактировать их в этой таблице.</t>
        </r>
      </text>
    </comment>
    <comment ref="A128" authorId="0">
      <text>
        <r>
          <rPr>
            <sz val="8"/>
            <color indexed="81"/>
            <rFont val="Tahoma"/>
            <family val="2"/>
            <charset val="204"/>
          </rPr>
          <t>Цена продажи продукции. Цена единицы продукта указывается
с НДС. Обычно достаточно указать цену в периоде "0", 
инфляцию программа учтет автоматически. Но при 
необходимости цену единицы продукта можно ввести в любом 
периоде.
В детализации по продуктам можно уточнять значения ставки 
НДС и информацию по акцизам.</t>
        </r>
      </text>
    </comment>
    <comment ref="B1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43" authorId="0">
      <text>
        <r>
          <rPr>
            <sz val="8"/>
            <color indexed="81"/>
            <rFont val="Tahoma"/>
            <family val="2"/>
            <charset val="204"/>
          </rPr>
          <t>Поступления от продаж, рассчитанные с учетом данных
таблиц ОБЪЕМЫ РЕАЛИЗАЦИИ и ЦЕНА РЕАЛИЗАЦИИ.
В детализации по продукту представлены подробности
получения доходов и есть возможность уточнить
параметры расчетов с покупателями.</t>
        </r>
      </text>
    </comment>
    <comment ref="A187" authorId="0">
      <text>
        <r>
          <rPr>
            <sz val="8"/>
            <color indexed="81"/>
            <rFont val="Tahoma"/>
            <family val="2"/>
            <charset val="204"/>
          </rPr>
          <t>Стоимость материалов и комплектующих на единицу продукта.
Затраты на эти материалы будут рассчитаны с учетом графика
производства.
Если затраты на какие-либо материалы известны не на единицу
продукта, а в целом на производственный план, то их можно описать
в таблице "Прямые производственные расходы" раздела ТЕКУЩИЕ
ЗАТРАТЫ.</t>
        </r>
      </text>
    </comment>
    <comment ref="B1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94" authorId="0">
      <text>
        <r>
          <rPr>
            <sz val="8"/>
            <color indexed="81"/>
            <rFont val="Tahoma"/>
            <family val="2"/>
            <charset val="204"/>
          </rPr>
          <t>Здесь указывается только зарплата, прямо зависящая
от количества произведенной продукции. Постоянная зарплата,
а также затраты на персонал, которые зависят от общей загрузки
производства, но не привязаны к единице продукции, вводятся
в разделе ПЕРСОНАЛ И ЗАРАБОТНАЯ ПЛАТА.</t>
        </r>
      </text>
    </comment>
    <comment ref="A201" authorId="0">
      <text>
        <r>
          <rPr>
            <sz val="8"/>
            <color indexed="81"/>
            <rFont val="Tahoma"/>
            <family val="2"/>
            <charset val="204"/>
          </rPr>
          <t>Рассчитанные затраты на материалы и комплектующие. В детализации
представлены подробные данные о производственном графике и
дана возможность корректировать график производства и условия
оплаты материалов и комплектующих.</t>
        </r>
      </text>
    </comment>
    <comment ref="A2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Количество указывается из расчета 100% загрузки.
</t>
        </r>
        <r>
          <rPr>
            <sz val="8"/>
            <color indexed="81"/>
            <rFont val="Tahoma"/>
            <family val="2"/>
            <charset val="204"/>
          </rPr>
          <t>Реальные затраты будут пропорциональны среднему 
коэффициенту загрузки производства
Затраты на сдельную зарплату перенесены из раздела 
СДЕЛЬНАЯ ЗАРПЛАТА.</t>
        </r>
      </text>
    </comment>
    <comment ref="A324" authorId="0">
      <text>
        <r>
          <rPr>
            <sz val="8"/>
            <color indexed="81"/>
            <rFont val="Tahoma"/>
            <family val="2"/>
            <charset val="204"/>
          </rPr>
          <t>Здесь указываются прямые затраты на производство, кроме 
затрат, описанных в разделе "Материалы и комплектующие".
В этой таблице можно указать те расходы на сырье, 
материалы и комплектующие, данные по которым известны 
не в форме затрат на единицу продукта, а в форме затрат за период.</t>
        </r>
      </text>
    </comment>
    <comment ref="B3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3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4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0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Для импортных активов выплаченные
суммы указываются без НДС. Полная
сумма НДС будет автоматически добавлена
к платежам в том периоде, когда оборудование 
пересекает границу.</t>
        </r>
      </text>
    </comment>
    <comment ref="B43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58" authorId="0">
      <text>
        <r>
          <rPr>
            <b/>
            <sz val="8"/>
            <color indexed="81"/>
            <rFont val="Tahoma"/>
            <family val="2"/>
            <charset val="204"/>
          </rPr>
          <t>0</t>
        </r>
        <r>
          <rPr>
            <sz val="8"/>
            <color indexed="81"/>
            <rFont val="Tahoma"/>
            <family val="2"/>
            <charset val="204"/>
          </rPr>
          <t xml:space="preserve"> - нет
</t>
        </r>
        <r>
          <rPr>
            <b/>
            <sz val="8"/>
            <color indexed="81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 xml:space="preserve"> - да
Стоимость начальных инвестиций будет
отнесена к Прочим источникам финансирования,
чтобы обеспечить сходимость баланса</t>
        </r>
      </text>
    </comment>
    <comment ref="B501" authorId="0">
      <text>
        <r>
          <rPr>
            <sz val="8"/>
            <color indexed="81"/>
            <rFont val="Tahoma"/>
            <family val="2"/>
            <charset val="204"/>
          </rPr>
          <t>Чтобы выбрать тип лизинга, задайте значение:
1 - с выкупом (учет на балансе лизингодателя)
2 - с выкупом  (учет на балансе лизингополучателя)
3 - оперативный  (учет на балансе лизингодателя)
4 - оперативный (учет на балансе лизингополучателя)</t>
        </r>
      </text>
    </comment>
    <comment ref="B583" authorId="0">
      <text>
        <r>
          <rPr>
            <sz val="8"/>
            <color indexed="81"/>
            <rFont val="Tahoma"/>
            <family val="2"/>
            <charset val="204"/>
          </rPr>
          <t>1 - создавать
2 - не создавать</t>
        </r>
      </text>
    </comment>
    <comment ref="B613" authorId="0">
      <text>
        <r>
          <rPr>
            <sz val="8"/>
            <color indexed="81"/>
            <rFont val="Tahoma"/>
            <family val="2"/>
            <charset val="204"/>
          </rPr>
          <t>Возможные типы кредита:
1- кредит берется на пополнение оборотных средств 
2 - кредит берется на инвестиционные цели
3 - инвестиционный кредит федерального бюджета
4 - инвестиционный кредит территориального бюджета</t>
        </r>
      </text>
    </comment>
    <comment ref="B680" authorId="0">
      <text>
        <r>
          <rPr>
            <sz val="8"/>
            <color indexed="81"/>
            <rFont val="Tahoma"/>
            <family val="2"/>
            <charset val="204"/>
          </rPr>
          <t>1 - возвращается из бюджета
2 - зачитывается при будущих расчетах</t>
        </r>
      </text>
    </comment>
    <comment ref="B681" authorId="0">
      <text>
        <r>
          <rPr>
            <sz val="8"/>
            <color indexed="81"/>
            <rFont val="Tahoma"/>
            <family val="2"/>
            <charset val="204"/>
          </rPr>
          <t>1 - сразу после постановки на баланс
2 - только после возврата инвестиционных 
кредитов</t>
        </r>
      </text>
    </comment>
    <comment ref="A1009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101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101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1012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1013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1015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101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1018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101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102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1022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1023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102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1026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1027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1028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1030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103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1032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1033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1034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A1115" authorId="0">
      <text>
        <r>
          <rPr>
            <sz val="8"/>
            <color indexed="81"/>
            <rFont val="Tahoma"/>
            <family val="2"/>
            <charset val="204"/>
          </rPr>
          <t>Если эта опция включена, то при расчете показателей 
эффективности учитывается стоимость активов, 
которые переданы для реализации проекта, т.е. 
учитываются инвестиции, сделанные в неденежной форме.</t>
        </r>
      </text>
    </comment>
    <comment ref="A1116" authorId="0">
      <text>
        <r>
          <rPr>
            <sz val="8"/>
            <color indexed="81"/>
            <rFont val="Tahoma"/>
            <family val="2"/>
            <charset val="204"/>
          </rPr>
          <t>При включении этой опции в расчете эффективности 
учитывается стоимость чистых активов на момент 
окончания проекта.
При расчете эффективности для банка данная опция игнорируется.</t>
        </r>
      </text>
    </comment>
    <comment ref="B111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190" authorId="0">
      <text>
        <r>
          <rPr>
            <sz val="8"/>
            <color indexed="81"/>
            <rFont val="Tahoma"/>
            <family val="2"/>
            <charset val="204"/>
          </rPr>
          <t xml:space="preserve">В данном случае учитываются только денежные потоки, 
ранее осуществленные инвестиции и остаточная 
стоимость проекта игнорируются. </t>
        </r>
      </text>
    </comment>
  </commentList>
</comments>
</file>

<file path=xl/comments3.xml><?xml version="1.0" encoding="utf-8"?>
<comments xmlns="http://schemas.openxmlformats.org/spreadsheetml/2006/main">
  <authors>
    <author>АИ</author>
  </authors>
  <commentList>
    <comment ref="A348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34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35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351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35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354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35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357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35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35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361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362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3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365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36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367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369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37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371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372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373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B4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2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</commentList>
</comments>
</file>

<file path=xl/sharedStrings.xml><?xml version="1.0" encoding="utf-8"?>
<sst xmlns="http://schemas.openxmlformats.org/spreadsheetml/2006/main" count="4222" uniqueCount="2399">
  <si>
    <t>Earnings and Costs from Operation Activities</t>
  </si>
  <si>
    <t>SALES AND PRODUCTION</t>
  </si>
  <si>
    <t>Sales growth due to inflation</t>
  </si>
  <si>
    <t>Sales growth (excluding inflation)</t>
  </si>
  <si>
    <t>Revenue share  optained in local currency</t>
  </si>
  <si>
    <t>Sales revenue</t>
  </si>
  <si>
    <t>VAT to sales revenue</t>
  </si>
  <si>
    <t>Costs growth (excluding inflation)</t>
  </si>
  <si>
    <t>Costs growth due to inflation</t>
  </si>
  <si>
    <t>Costs share paid in local currency</t>
  </si>
  <si>
    <t xml:space="preserve">Current expenses </t>
  </si>
  <si>
    <t>Structure of expenses</t>
  </si>
  <si>
    <t xml:space="preserve">      Sales and Marketing Expenses</t>
  </si>
  <si>
    <t xml:space="preserve">      Managerial and Administrative Expenses</t>
  </si>
  <si>
    <t>VAT to current expenses</t>
  </si>
  <si>
    <t>Raw materials stock</t>
  </si>
  <si>
    <t>Work in progress</t>
  </si>
  <si>
    <t>Advance payments to suppliers</t>
  </si>
  <si>
    <t>VAT to paid</t>
  </si>
  <si>
    <t>Прочие долгосрочные обязательства</t>
  </si>
  <si>
    <t xml:space="preserve">      ИТОГО по разделу IV</t>
  </si>
  <si>
    <t>Оценка стоимости бизнеса</t>
  </si>
  <si>
    <t xml:space="preserve">    площадь к налогообложению</t>
  </si>
  <si>
    <t xml:space="preserve">      налоги, относимые на текущие затраты</t>
  </si>
  <si>
    <t>Акцизы и экспортные пошлины</t>
  </si>
  <si>
    <t xml:space="preserve">    стоимость имущества, освобождаемого от налога</t>
  </si>
  <si>
    <t>Налог на имущество</t>
  </si>
  <si>
    <t>в год ( ! )</t>
  </si>
  <si>
    <t>Другие налоги, относимые на финансовые результаты</t>
  </si>
  <si>
    <t xml:space="preserve"> -  дивиденды</t>
  </si>
  <si>
    <t xml:space="preserve"> = нераспределенная прибыль</t>
  </si>
  <si>
    <t xml:space="preserve">    то же, нарастающим итогом</t>
  </si>
  <si>
    <t>Контроль сходимости баланса</t>
  </si>
  <si>
    <t>Запасы сырья и материалов</t>
  </si>
  <si>
    <t>Запасы готовой продукции</t>
  </si>
  <si>
    <t xml:space="preserve">    периодичность закупки</t>
  </si>
  <si>
    <t xml:space="preserve">    минимальные остатки на складе, на</t>
  </si>
  <si>
    <t xml:space="preserve">    длительность производственного цикла</t>
  </si>
  <si>
    <t xml:space="preserve">    среднее время хранения</t>
  </si>
  <si>
    <t>Поступления денег от продаж:</t>
  </si>
  <si>
    <t xml:space="preserve">    интервал, в котором завершена выплата кредита</t>
  </si>
  <si>
    <t xml:space="preserve">    погашение задолженности по процентам</t>
  </si>
  <si>
    <t xml:space="preserve">    недисконтированный поток нарастающим итогом</t>
  </si>
  <si>
    <t xml:space="preserve">    accumulated net cash flow</t>
  </si>
  <si>
    <t>Множитель прироста цен для основной валюты</t>
  </si>
  <si>
    <t>Множитель прироста цен для иностранной валюты</t>
  </si>
  <si>
    <t>срок, дн.</t>
  </si>
  <si>
    <t>ЗАПАСЫ</t>
  </si>
  <si>
    <t xml:space="preserve">    продажи с предоплатой</t>
  </si>
  <si>
    <t xml:space="preserve">    продажи в кредит</t>
  </si>
  <si>
    <t>Сумма счетов к получению</t>
  </si>
  <si>
    <t xml:space="preserve">    --- // --- начисленная за завершенную продукцию</t>
  </si>
  <si>
    <t xml:space="preserve">    --- // --- истрачено в произведенных продуктах</t>
  </si>
  <si>
    <t xml:space="preserve">    материалы: истрачено в проданных продуктах</t>
  </si>
  <si>
    <t xml:space="preserve">    --- // --- стоимость в запасах готовой продукции</t>
  </si>
  <si>
    <t xml:space="preserve">    --- // --- в незавершенном производстве</t>
  </si>
  <si>
    <t xml:space="preserve">    --- // --- потребление для производства</t>
  </si>
  <si>
    <t xml:space="preserve">    --- // --- минимальный запас</t>
  </si>
  <si>
    <t xml:space="preserve">    --- // --- фактические запасы</t>
  </si>
  <si>
    <t xml:space="preserve">    --- // --- учтенная в запасах готовой продукции</t>
  </si>
  <si>
    <t xml:space="preserve">    кредиторская задолж., переходящая в след. период</t>
  </si>
  <si>
    <t>ПЕРСОНАЛ И ЗАРАБОТНАЯ ПЛАТА</t>
  </si>
  <si>
    <t>ТЕКУЩИЕ ЗАТРАТЫ</t>
  </si>
  <si>
    <t>ПОСТОЯННЫЕ АКТИВЫ</t>
  </si>
  <si>
    <t>ЛИЗИНГ</t>
  </si>
  <si>
    <t>ОБОРОТНЫЙ КАПИТАЛ</t>
  </si>
  <si>
    <t>КРЕДИТЫ</t>
  </si>
  <si>
    <t>НАЛОГИ И ПЛАТЕЖИ В ФОНДЫ</t>
  </si>
  <si>
    <t>ОТЧЕТ О ПРИБЫЛЯХ И УБЫТКАХ</t>
  </si>
  <si>
    <t>ОТЧЕТ О ДВИЖЕНИИ ДЕНЕЖНЫХ СРЕДСТВ</t>
  </si>
  <si>
    <t>БАЛАНС</t>
  </si>
  <si>
    <t>ПОКАЗАТЕЛИ ФИНАНСОВОЙ СОСТОЯТЕЛЬНОСТИ</t>
  </si>
  <si>
    <t>ЭФФЕКТИВНОСТЬ ИНВЕСТИЦИЙ</t>
  </si>
  <si>
    <t>БЮДЖЕТНАЯ ЭФФЕКТИВНОСТЬ</t>
  </si>
  <si>
    <t>ОСНОВНЫЕ ПОКАЗАТЕЛИ ПРОЕКТА</t>
  </si>
  <si>
    <t>Параметры программы:</t>
  </si>
  <si>
    <t xml:space="preserve"> for the constant prices</t>
  </si>
  <si>
    <t>General production staff salary</t>
  </si>
  <si>
    <t>Auxiliary production staff salary</t>
  </si>
  <si>
    <t>Sales and marketing staff salary</t>
  </si>
  <si>
    <t xml:space="preserve">        tax rate</t>
  </si>
  <si>
    <t xml:space="preserve">        payment period</t>
  </si>
  <si>
    <t xml:space="preserve">    Insurance</t>
  </si>
  <si>
    <t>Land tax</t>
  </si>
  <si>
    <t xml:space="preserve">    ставка (на тыс. кв. м )</t>
  </si>
  <si>
    <t xml:space="preserve">    tax rate (per sq. m 000)</t>
  </si>
  <si>
    <t>TVA achitat pentru active pe termen lung</t>
  </si>
  <si>
    <t>FINANŢAREA ACTIVITĂŢII ÎNTREPRINDERII</t>
  </si>
  <si>
    <t xml:space="preserve">Necesarul de finanţare a mijloacelor circulante </t>
  </si>
  <si>
    <t xml:space="preserve">    accounts receivable staying till next step</t>
  </si>
  <si>
    <t xml:space="preserve"> = Total</t>
  </si>
  <si>
    <t>share</t>
  </si>
  <si>
    <t>term</t>
  </si>
  <si>
    <t>RAW MATERIALS AND COMPONENTS (for unit, including VAT)</t>
  </si>
  <si>
    <t>DIRECT COSTS OF PRODUCTION</t>
  </si>
  <si>
    <t>DIRECT LABOR COSTS (for unit)</t>
  </si>
  <si>
    <t xml:space="preserve">    min. stock of finished goods</t>
  </si>
  <si>
    <t xml:space="preserve">    actual stock of finished goods</t>
  </si>
  <si>
    <t xml:space="preserve">    production schedule (units)</t>
  </si>
  <si>
    <t xml:space="preserve">    direct labor costs: in COGS</t>
  </si>
  <si>
    <t xml:space="preserve">    --- // --- in cost of goods manufactured</t>
  </si>
  <si>
    <t xml:space="preserve">    --- // --- in the stock of finished goods</t>
  </si>
  <si>
    <t xml:space="preserve">    raw materials and components: in COGS</t>
  </si>
  <si>
    <t xml:space="preserve">    --- // --- spent in goods manufactured</t>
  </si>
  <si>
    <t xml:space="preserve">    --- // ---  in the stock of finished goods</t>
  </si>
  <si>
    <t xml:space="preserve">    --- // --- in unfinished goods</t>
  </si>
  <si>
    <t xml:space="preserve">    --- // --- usage schedule</t>
  </si>
  <si>
    <t xml:space="preserve">        в том числе по хозяйственным кредитам</t>
  </si>
  <si>
    <t xml:space="preserve">        including interest on current loans</t>
  </si>
  <si>
    <t>Предполагаемый темп годового роста цен</t>
  </si>
  <si>
    <t>для иностранной валюты</t>
  </si>
  <si>
    <t>для основной валюты</t>
  </si>
  <si>
    <t xml:space="preserve">    --- // --- min. stock</t>
  </si>
  <si>
    <t xml:space="preserve">    --- // --- actual stock</t>
  </si>
  <si>
    <t xml:space="preserve">    raw materials and components purchase schedule</t>
  </si>
  <si>
    <t xml:space="preserve">    payments for raw materials and components</t>
  </si>
  <si>
    <t xml:space="preserve">    credit purchases</t>
  </si>
  <si>
    <t xml:space="preserve">    advance purchases</t>
  </si>
  <si>
    <t xml:space="preserve">     perioada în care e finisată achitarea creditului</t>
  </si>
  <si>
    <t xml:space="preserve">     stingerea datoriei privind dobînda</t>
  </si>
  <si>
    <t>Rata anuală de calcul</t>
  </si>
  <si>
    <t xml:space="preserve"> pentru preţuri constante</t>
  </si>
  <si>
    <t>Salariul personalului de bază implicat în producere</t>
  </si>
  <si>
    <t>Contribuţii la asigurări sociale de stat calculat la salariul personalului de producere</t>
  </si>
  <si>
    <t>Salariul personalului auxiliar procesului de producere</t>
  </si>
  <si>
    <t>Contribuţii la asigurări sociale de stat calculat la salariul  personalului auxiliar</t>
  </si>
  <si>
    <t>Salaruiul personalului comercial</t>
  </si>
  <si>
    <t>Contribuţii la asigurări sociale de stat calculat la salariul personalului comercial</t>
  </si>
  <si>
    <t>Salariul personalului administrativ</t>
  </si>
  <si>
    <t>Contribuţii la asigurări sociale de stat calculat la salariul personalului administrativ</t>
  </si>
  <si>
    <t>Рост затрат в % к предыдущему периоду (без учета инфляции)</t>
  </si>
  <si>
    <t>Dividends on ordinary shares</t>
  </si>
  <si>
    <t xml:space="preserve">    No. of period when starts dividend payments</t>
  </si>
  <si>
    <t xml:space="preserve">    share of net profit to be paid as dividends</t>
  </si>
  <si>
    <t>CASH FLOW STATEMENT</t>
  </si>
  <si>
    <t>Taxes</t>
  </si>
  <si>
    <t>Dividends Paid</t>
  </si>
  <si>
    <t>Денежные потоки от финансовой деятельности</t>
  </si>
  <si>
    <t>Chart: Cash</t>
  </si>
  <si>
    <t>Предполагаемый годовой темп прироста</t>
  </si>
  <si>
    <t>BALANCE SHEET</t>
  </si>
  <si>
    <t>Cash</t>
  </si>
  <si>
    <t>По акцизам и экспортным пошлинам</t>
  </si>
  <si>
    <t>По импортным пошлинам</t>
  </si>
  <si>
    <t>По НДС</t>
  </si>
  <si>
    <t>On VAT</t>
  </si>
  <si>
    <t>On excise and export duties</t>
  </si>
  <si>
    <t>On import duties</t>
  </si>
  <si>
    <t xml:space="preserve">    от продажи товаров (работ, услуг)</t>
  </si>
  <si>
    <t xml:space="preserve">    от продажи активов</t>
  </si>
  <si>
    <t xml:space="preserve">    Buildings</t>
  </si>
  <si>
    <t xml:space="preserve">    Equipments etc.</t>
  </si>
  <si>
    <t xml:space="preserve"> = TOTAL ASSETS</t>
  </si>
  <si>
    <t xml:space="preserve">    стоимость выпущенных привилегированных акций</t>
  </si>
  <si>
    <t>Ordinary shares:</t>
  </si>
  <si>
    <t>Справка: Остаток средств на счете</t>
  </si>
  <si>
    <t>ПРОЕКТЫ КОМПАНИИ</t>
  </si>
  <si>
    <t>Название проекта</t>
  </si>
  <si>
    <t>Лист</t>
  </si>
  <si>
    <t>Проект</t>
  </si>
  <si>
    <t>НАЧАЛЬНЫЙ ОТЧЕТ О ПРИБЫЛЯХ И УБЫТКАХ</t>
  </si>
  <si>
    <t>ПРОГНОЗ ИЗМЕНЕНИЙ В ДЕЯТЕЛЬНОСТИ (БЕЗ УЧЕТА ПРОЕКТОВ)</t>
  </si>
  <si>
    <t>Рост продаж в % к предыдущему периоду (без учета инфляции)</t>
  </si>
  <si>
    <t>Темпы прироста цен в следствии инфляции</t>
  </si>
  <si>
    <t>Доля продукции, реализуемой на внутреннем рынке</t>
  </si>
  <si>
    <t>Выручка от реализации по действующему производству</t>
  </si>
  <si>
    <t>НДС к выручке</t>
  </si>
  <si>
    <t xml:space="preserve"> (дисконтированные, с поправкой на инфляцию)</t>
  </si>
  <si>
    <t xml:space="preserve"> (discounted, including inflation)</t>
  </si>
  <si>
    <t>Компоненты оценки бизнеса</t>
  </si>
  <si>
    <t>Data for valuation</t>
  </si>
  <si>
    <t>Прибыль до налога, процентов и амортизации (EBITDA)</t>
  </si>
  <si>
    <t>Total Fixed Assets</t>
  </si>
  <si>
    <t>Raw Materials and Components Stock</t>
  </si>
  <si>
    <t>Investments in Progress</t>
  </si>
  <si>
    <t>Balance Check</t>
  </si>
  <si>
    <t>PERSONAL ŞI SALARII</t>
  </si>
  <si>
    <t>Personal direct implicat în producere</t>
  </si>
  <si>
    <t>Personal auxiliar implicat în producere</t>
  </si>
  <si>
    <t>Personal administrativ</t>
  </si>
  <si>
    <t>Personal comercial</t>
  </si>
  <si>
    <t>Numărul total de salariaţi</t>
  </si>
  <si>
    <t xml:space="preserve">     Numărul</t>
  </si>
  <si>
    <t xml:space="preserve">     salariu de funcţie lunar</t>
  </si>
  <si>
    <t>Nr.</t>
  </si>
  <si>
    <t>sal. lunar</t>
  </si>
  <si>
    <t>oam.</t>
  </si>
  <si>
    <t>CHELTUIELI OPERAŢIONALE</t>
  </si>
  <si>
    <t>Cheltuieli directe de producere</t>
  </si>
  <si>
    <t>Cheltuieli generale de producere</t>
  </si>
  <si>
    <t>Cheltuieli generale şi administrative</t>
  </si>
  <si>
    <t>Cheltuieli comerciale</t>
  </si>
  <si>
    <t>Cheltuieli comerciale ca % din vînzări</t>
  </si>
  <si>
    <t xml:space="preserve">     inclusiv TVA</t>
  </si>
  <si>
    <t xml:space="preserve">     Cheltuieli de producere</t>
  </si>
  <si>
    <t xml:space="preserve">         suma fără TVA</t>
  </si>
  <si>
    <t xml:space="preserve">         TVA</t>
  </si>
  <si>
    <t xml:space="preserve">     Cheltuieli general administrative</t>
  </si>
  <si>
    <t xml:space="preserve">     Cheltuieli comerciale</t>
  </si>
  <si>
    <t>ACTIVE PE TERMEN LUNG</t>
  </si>
  <si>
    <t>Минимальный остаток средств на счете</t>
  </si>
  <si>
    <t>Minimum cash at the end of period</t>
  </si>
  <si>
    <t xml:space="preserve">    знак остатка денежных средств</t>
  </si>
  <si>
    <t xml:space="preserve">    знак остатка дисконтированных денежных средств</t>
  </si>
  <si>
    <t>Норма доходности полных инвестиционных затрат</t>
  </si>
  <si>
    <t>Простой срок окупаемости</t>
  </si>
  <si>
    <t>Дисконтированный срок окупаемости (PBP)</t>
  </si>
  <si>
    <t>Внутренняя норма рентабельности (IRR)</t>
  </si>
  <si>
    <t>Модифицированная IRR (MIRR)</t>
  </si>
  <si>
    <t xml:space="preserve">    дисконтированная стоимость инвестиций</t>
  </si>
  <si>
    <t xml:space="preserve">    инвестиции</t>
  </si>
  <si>
    <t xml:space="preserve">    interest accrued</t>
  </si>
  <si>
    <t xml:space="preserve">    interest debt</t>
  </si>
  <si>
    <t xml:space="preserve">    interval when loan was paid</t>
  </si>
  <si>
    <t xml:space="preserve">    paid interest debt</t>
  </si>
  <si>
    <t>Ставка дисконтирования инвестиционных затрат</t>
  </si>
  <si>
    <t>Средневзвешенная стоимость капитала</t>
  </si>
  <si>
    <t>График: Окупаемость проекта</t>
  </si>
  <si>
    <t>Чистая стоимость денежных потоков проекта (NPV)</t>
  </si>
  <si>
    <t>Дисконтированные дивиденды (ДД)</t>
  </si>
  <si>
    <t xml:space="preserve">     TVA aferent investiţiilor anterioare</t>
  </si>
  <si>
    <t xml:space="preserve">     TVA deductibil</t>
  </si>
  <si>
    <t xml:space="preserve">     vînzarea activului (fără TVA)</t>
  </si>
  <si>
    <t xml:space="preserve">     profit/pierderi de la vînzarea activelor</t>
  </si>
  <si>
    <t xml:space="preserve">     TVA din vînzarea activului</t>
  </si>
  <si>
    <t>perioadei</t>
  </si>
  <si>
    <t>perioada</t>
  </si>
  <si>
    <t xml:space="preserve"> = Total: Utilaje şi alte mijloace fixe</t>
  </si>
  <si>
    <t xml:space="preserve">     total plăţi fără TVA</t>
  </si>
  <si>
    <t xml:space="preserve">     valoarea de bilanţ</t>
  </si>
  <si>
    <t xml:space="preserve">     datorie creditoare</t>
  </si>
  <si>
    <t xml:space="preserve">     uzura</t>
  </si>
  <si>
    <t xml:space="preserve">    vînzarea activelor (fără TVA)</t>
  </si>
  <si>
    <t xml:space="preserve">    profit/pierderi de la vînzarea activelor</t>
  </si>
  <si>
    <t xml:space="preserve">    TVA din vînzarea activului</t>
  </si>
  <si>
    <t xml:space="preserve">    Единый социальный налог (ЕСН)</t>
  </si>
  <si>
    <t xml:space="preserve">    Страхование</t>
  </si>
  <si>
    <t xml:space="preserve">        ставка</t>
  </si>
  <si>
    <t xml:space="preserve">        период уплаты</t>
  </si>
  <si>
    <t xml:space="preserve"> тыс. кв. м</t>
  </si>
  <si>
    <t>Параметры анализа чувствительности</t>
  </si>
  <si>
    <t>Наименование изменяемого параметра</t>
  </si>
  <si>
    <t>Объем продаж</t>
  </si>
  <si>
    <t>Стоимость материалов и комплектующих</t>
  </si>
  <si>
    <t>Величина общих издержек</t>
  </si>
  <si>
    <t>Размер инвестиций в постоянные активы</t>
  </si>
  <si>
    <t>&lt; конец списка параметров &gt;</t>
  </si>
  <si>
    <t>Область</t>
  </si>
  <si>
    <t>Эти параметры служат для настройки анализа чувствительности. Здесь Вы можете изменить перечень</t>
  </si>
  <si>
    <t>варьируемых исходных данных, добавить анализ чувствительности по своему параметру. Подробное</t>
  </si>
  <si>
    <t>описание настройки см. в Руководстве пользователя</t>
  </si>
  <si>
    <t>Mărimea de facto a plăţilor de leasing (fără TVA)</t>
  </si>
  <si>
    <t>TVA aferent plăţilor</t>
  </si>
  <si>
    <t xml:space="preserve">    avansurile plătite companiei de leasing</t>
  </si>
  <si>
    <t xml:space="preserve">    mijloace fixe arendate (valoarea reziduală)</t>
  </si>
  <si>
    <t xml:space="preserve">    proprietate impozabilă</t>
  </si>
  <si>
    <t>Răscumpărarea mijloacelor fixe la valoarea reziduală</t>
  </si>
  <si>
    <t xml:space="preserve">    valoarea de bilanţ după răscumpărare</t>
  </si>
  <si>
    <t xml:space="preserve">    valoarea reziduală după răscumpărare</t>
  </si>
  <si>
    <t xml:space="preserve">    amortizarea mijloacelor fixe la beneficiarul de leasing după răscumpărare</t>
  </si>
  <si>
    <t xml:space="preserve">    TVA achitat la răscumpărare</t>
  </si>
  <si>
    <t xml:space="preserve"> = Total plăţi de leasing, calculate, fără TVA</t>
  </si>
  <si>
    <t xml:space="preserve"> = Total plăţi de leasing, achitate, cu TVA</t>
  </si>
  <si>
    <t xml:space="preserve"> = Total răscumpărarea mijloacelor fixe, incl. TVA</t>
  </si>
  <si>
    <t xml:space="preserve">    TVA la plăţile de leasing şi răscumpărare</t>
  </si>
  <si>
    <t xml:space="preserve">    mijloace fixe arendate</t>
  </si>
  <si>
    <t xml:space="preserve">    valoare de bilanţ după răscumpărare</t>
  </si>
  <si>
    <t xml:space="preserve">    valoarea reziduală rămasă după răscumpărare</t>
  </si>
  <si>
    <t>cu răscumpărare (evidenţa în bilanţul companiei de leasing)</t>
  </si>
  <si>
    <t>cu răscumpărare (evidenţa în bilanţul beneficiarului de leasing)</t>
  </si>
  <si>
    <t>Сумма полученных авансов</t>
  </si>
  <si>
    <t>РАСЧЕТЫ С ПОКУПАТЕЛЯМИ</t>
  </si>
  <si>
    <t>РАСЧЕТЫ С ПОСТАВЩИКАМИ</t>
  </si>
  <si>
    <t>Оплата материалов и комплектующих:</t>
  </si>
  <si>
    <t>Сумма счетов к оплате</t>
  </si>
  <si>
    <t>Сумма уплаченных авансов</t>
  </si>
  <si>
    <t>РАСЧЕТЫ С БЮДЖЕТОМ</t>
  </si>
  <si>
    <t>По налогу на прибыль</t>
  </si>
  <si>
    <t xml:space="preserve"> = Current assets required</t>
  </si>
  <si>
    <t>Advance payments of buyers</t>
  </si>
  <si>
    <t>Taxes &amp; surcharges payable</t>
  </si>
  <si>
    <t>Wages &amp; salaries payable</t>
  </si>
  <si>
    <t>Deferred Expenses Paid</t>
  </si>
  <si>
    <t>Investments in Working Capital</t>
  </si>
  <si>
    <t>Proceeds from Sales of Fixed Assets</t>
  </si>
  <si>
    <t>Cash Flow from Investments</t>
  </si>
  <si>
    <t>Proceeds from Issue Of Share Capital</t>
  </si>
  <si>
    <t>Proceeds from Debt</t>
  </si>
  <si>
    <t>Repayment of Debt</t>
  </si>
  <si>
    <t>Lease Payments</t>
  </si>
  <si>
    <t>Cash Flow from Financing Activities</t>
  </si>
  <si>
    <t>Net Cash Flow</t>
  </si>
  <si>
    <t>Cash at the End of Period</t>
  </si>
  <si>
    <t>Chart: Cash Flows</t>
  </si>
  <si>
    <t>Net Sales</t>
  </si>
  <si>
    <t xml:space="preserve"> -  Cost of Sales</t>
  </si>
  <si>
    <t xml:space="preserve">      Raw Materials and Components</t>
  </si>
  <si>
    <t xml:space="preserve">      Taxes Included in Cost of Sales</t>
  </si>
  <si>
    <t xml:space="preserve">      Production Expenses</t>
  </si>
  <si>
    <t xml:space="preserve">      Leasing Expenses</t>
  </si>
  <si>
    <t xml:space="preserve">      Depreciation</t>
  </si>
  <si>
    <t>Gross Profit</t>
  </si>
  <si>
    <t xml:space="preserve"> -  Sales and Marketing Expenses</t>
  </si>
  <si>
    <t xml:space="preserve">    land for taxation</t>
  </si>
  <si>
    <t>Other taxes included in COGS</t>
  </si>
  <si>
    <t>Other sales taxes</t>
  </si>
  <si>
    <t xml:space="preserve">    taxable base</t>
  </si>
  <si>
    <t>3. TAXES INCLUDED IN GENERAL EXPENSES</t>
  </si>
  <si>
    <t>Property tax</t>
  </si>
  <si>
    <t xml:space="preserve">    allowances</t>
  </si>
  <si>
    <t>Other taxes included in general expenses</t>
  </si>
  <si>
    <t>4. PROFIT TAX</t>
  </si>
  <si>
    <t>Profit tax accrued</t>
  </si>
  <si>
    <t>V. КРАТКОСРОЧНЫЕ ОБЯЗАТЕЛЬСТВА</t>
  </si>
  <si>
    <t xml:space="preserve">      поставщики и подрядчики</t>
  </si>
  <si>
    <t xml:space="preserve">      задолженность перед персоналом организации</t>
  </si>
  <si>
    <t xml:space="preserve">      задолженность перед гос. внебюджетными фондами</t>
  </si>
  <si>
    <t xml:space="preserve">      задолженность по налогам и сборам</t>
  </si>
  <si>
    <t xml:space="preserve">      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</si>
  <si>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</si>
  <si>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</si>
  <si>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</si>
  <si>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</si>
  <si>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   ИТОГО по разделу V</t>
  </si>
  <si>
    <t>Включать данные о компании?</t>
  </si>
  <si>
    <t>Доходы и расходы по обычным видам деятельности</t>
  </si>
  <si>
    <t>Себестоимость проданных товаров, продукции, работ, услуг</t>
  </si>
  <si>
    <t>Управленческие расходы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</si>
  <si>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</si>
  <si>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</si>
  <si>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</si>
  <si>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</si>
  <si>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autoloan_button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</si>
  <si>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</si>
  <si>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</si>
  <si>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</si>
  <si>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</si>
  <si>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</si>
  <si>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</si>
  <si>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</si>
  <si>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ФИНАНСИРОВАНИЕ ДЕЯТЕЛЬНОСТИ КОМПАНИИ</t>
  </si>
  <si>
    <t xml:space="preserve"> -  Managerial and Administrative Expenses</t>
  </si>
  <si>
    <t>Profit From Operations</t>
  </si>
  <si>
    <t xml:space="preserve"> -  Taxes Included in General Expenses</t>
  </si>
  <si>
    <t xml:space="preserve"> + Profit (Loss) from Other Sales</t>
  </si>
  <si>
    <t xml:space="preserve"> + Profit (Loss) from Currency Exchange</t>
  </si>
  <si>
    <t xml:space="preserve"> + Profit (Loss) from Non-Trade Operations</t>
  </si>
  <si>
    <t>Profit Before Tax</t>
  </si>
  <si>
    <t xml:space="preserve"> -  Profit Tax</t>
  </si>
  <si>
    <t>Net Profit (Loss)</t>
  </si>
  <si>
    <t xml:space="preserve"> -  Dividends</t>
  </si>
  <si>
    <t xml:space="preserve"> = Retained (Undistributed) Profit/Loss</t>
  </si>
  <si>
    <t xml:space="preserve">    Accumulated Retained Profit</t>
  </si>
  <si>
    <t>Chart: Sales and Costs of The Project</t>
  </si>
  <si>
    <t>Chart: Net Profit</t>
  </si>
  <si>
    <t>Solvency Ratio</t>
  </si>
  <si>
    <t>Gearing Ratio</t>
  </si>
  <si>
    <t>Long-Term Debt to Total Liabilities</t>
  </si>
  <si>
    <t>Debt-Service Coverage</t>
  </si>
  <si>
    <t>Times Interest Earned</t>
  </si>
  <si>
    <t>Chart: Liquidity</t>
  </si>
  <si>
    <t>Chart: Profitability</t>
  </si>
  <si>
    <t>Chart: Net Working Capital</t>
  </si>
  <si>
    <t>times</t>
  </si>
  <si>
    <t>Дата начала проекта</t>
  </si>
  <si>
    <t>Основная валюта расчета</t>
  </si>
  <si>
    <t>Иностранная валюта</t>
  </si>
  <si>
    <t>Срок жизни проекта</t>
  </si>
  <si>
    <t>Шаг планирования</t>
  </si>
  <si>
    <t>Валюта для отображения результатов</t>
  </si>
  <si>
    <t>Описание проекта</t>
  </si>
  <si>
    <t>Название проекта:</t>
  </si>
  <si>
    <t>Язык</t>
  </si>
  <si>
    <t>Русский</t>
  </si>
  <si>
    <t>Защита</t>
  </si>
  <si>
    <t>Да</t>
  </si>
  <si>
    <t>МАКРОЭКОНОМИЧЕСКОЕ ОКРУЖЕНИЕ</t>
  </si>
  <si>
    <t>Номера периодов</t>
  </si>
  <si>
    <t>Дата начала периода</t>
  </si>
  <si>
    <t>Наименования периодов без учета дат</t>
  </si>
  <si>
    <t>Наименования периодов с учетом дат</t>
  </si>
  <si>
    <t>"0"</t>
  </si>
  <si>
    <t>Выключена</t>
  </si>
  <si>
    <t>Длительность шага планирования</t>
  </si>
  <si>
    <t>То же, в пересчете на период, равный шагу проекта</t>
  </si>
  <si>
    <t>%</t>
  </si>
  <si>
    <t>обменного курса иностранной валюты</t>
  </si>
  <si>
    <t>Ставка рефинансирования ЦБ</t>
  </si>
  <si>
    <t>Прибыль до налога и процентов по кредитам (EBIT)</t>
  </si>
  <si>
    <t>Earnings Before Interest, Tax, Depr. and Amort. (EBITDA)</t>
  </si>
  <si>
    <t>Earnings Before Interest and Tax (EBIT)</t>
  </si>
  <si>
    <t>Незавершенные капитальные вложения вводятся в эксплуатацию с интервала</t>
  </si>
  <si>
    <t>Дополнительные вложения во внеоборотные активы (по действующему предприятию, в сегодняшних ценах)</t>
  </si>
  <si>
    <t>Вложения во внеоборотные активы с учетом инфляции</t>
  </si>
  <si>
    <t>Индекс роста цен</t>
  </si>
  <si>
    <t>Увеличение задолженности</t>
  </si>
  <si>
    <t>Прочие источники финансирования</t>
  </si>
  <si>
    <t>Other Shareholders' Capital</t>
  </si>
  <si>
    <t>Other Short-Term Liabilities</t>
  </si>
  <si>
    <t>Sensitivity of the Company + Projects</t>
  </si>
  <si>
    <t>Company Sensitivity Chart</t>
  </si>
  <si>
    <t>Sensitivity Analysis</t>
  </si>
  <si>
    <t>Leased Equipment</t>
  </si>
  <si>
    <t>Required Investments:</t>
  </si>
  <si>
    <t>Source of Financing:</t>
  </si>
  <si>
    <t>Payments for the Capital</t>
  </si>
  <si>
    <t>Price Level for Sales</t>
  </si>
  <si>
    <t>Sales Volume</t>
  </si>
  <si>
    <t>Cost of Raw Materials and Components</t>
  </si>
  <si>
    <t>Investments in Fixed Assets</t>
  </si>
  <si>
    <t>Оборотные средства</t>
  </si>
  <si>
    <t xml:space="preserve">     datorii creditoare, transferate în perioada următoare</t>
  </si>
  <si>
    <t xml:space="preserve">    скорректировать на эту величину капитал в балансе?</t>
  </si>
  <si>
    <t>1_20</t>
  </si>
  <si>
    <t>1_21</t>
  </si>
  <si>
    <t>Total amount of previous investments</t>
  </si>
  <si>
    <t xml:space="preserve">    correct equity in balance sheet?</t>
  </si>
  <si>
    <t xml:space="preserve">    account for efficiency criteria in amount:</t>
  </si>
  <si>
    <t xml:space="preserve">    including VAT in amount</t>
  </si>
  <si>
    <t>Ранее осуществленные инвестиции</t>
  </si>
  <si>
    <t>Previous periods investments</t>
  </si>
  <si>
    <t>Суммарные краткосрочные обязательства</t>
  </si>
  <si>
    <t>Суммарный собственный капитал</t>
  </si>
  <si>
    <t>График: Ликвидность</t>
  </si>
  <si>
    <t>График: Рентабельность активов</t>
  </si>
  <si>
    <t>График: Движение денежных средств</t>
  </si>
  <si>
    <t>График: Остаток средств</t>
  </si>
  <si>
    <t>График: Текущие активы</t>
  </si>
  <si>
    <t>График: Чистый оборотный капитал</t>
  </si>
  <si>
    <t>Годовая ставка дисконтирования:</t>
  </si>
  <si>
    <t xml:space="preserve">    ставка дисконтирования на расчетный период</t>
  </si>
  <si>
    <t xml:space="preserve">    коэффициент дисконта</t>
  </si>
  <si>
    <t>Капитал, задействованный в расчетах с контрагентами</t>
  </si>
  <si>
    <t>Инвестиции в ЧОК для организации расчетов</t>
  </si>
  <si>
    <t xml:space="preserve">    непогашенные убытки текущего года</t>
  </si>
  <si>
    <t>Дисконтированный поток нарастающим итогом</t>
  </si>
  <si>
    <t>PBP</t>
  </si>
  <si>
    <t>NPVR</t>
  </si>
  <si>
    <t>MinMoney</t>
  </si>
  <si>
    <t>TotalProfit</t>
  </si>
  <si>
    <t>TotalInvestments</t>
  </si>
  <si>
    <t>Посленалоговая операционная прибыль (NOPLAT)</t>
  </si>
  <si>
    <t xml:space="preserve">    рассчитанной на основе NOPLAT</t>
  </si>
  <si>
    <t xml:space="preserve">    рассчитанной на основе ДД</t>
  </si>
  <si>
    <t>Оценка по NPV с учетом стоимости чистых активов</t>
  </si>
  <si>
    <t>Оценка по NPV с учетом продленной стоимости:</t>
  </si>
  <si>
    <t>Средняя оценка стоимости</t>
  </si>
  <si>
    <t>Варианты оценки стоимости бизнеса</t>
  </si>
  <si>
    <t>Значение</t>
  </si>
  <si>
    <t>Вес</t>
  </si>
  <si>
    <t>Project description</t>
  </si>
  <si>
    <t>Project title:</t>
  </si>
  <si>
    <t>Start date of the project</t>
  </si>
  <si>
    <t>Project duration</t>
  </si>
  <si>
    <t>Planning step</t>
  </si>
  <si>
    <t>Length of the planning step</t>
  </si>
  <si>
    <t>Language</t>
  </si>
  <si>
    <t>Protection</t>
  </si>
  <si>
    <t>Currency for financial reports</t>
  </si>
  <si>
    <t>Display real dates in the tables headers</t>
  </si>
  <si>
    <t>Project start year</t>
  </si>
  <si>
    <t>Project start month</t>
  </si>
  <si>
    <t>Period numbers</t>
  </si>
  <si>
    <t>Period names without real dates</t>
  </si>
  <si>
    <t>Project start date</t>
  </si>
  <si>
    <t>Real periods</t>
  </si>
  <si>
    <t xml:space="preserve">    зачет НДС по введенным в строй активам</t>
  </si>
  <si>
    <t>Расчеты ведутся для WACC</t>
  </si>
  <si>
    <t xml:space="preserve"> =Total: Imobil şi clădiri </t>
  </si>
  <si>
    <t xml:space="preserve"> =Total: Cheltuieli pentru perioadele următoare</t>
  </si>
  <si>
    <t xml:space="preserve"> =Total: TOTAL ACTIVE PE TERMEN LUNG</t>
  </si>
  <si>
    <t xml:space="preserve">    tipul de leasing</t>
  </si>
  <si>
    <t xml:space="preserve">    numărul perioadei de punere în funcţiune a  utilajului</t>
  </si>
  <si>
    <t xml:space="preserve">    perioada de leasing</t>
  </si>
  <si>
    <t>Valoarea obiectului (cu TVA)</t>
  </si>
  <si>
    <t xml:space="preserve">   valoarea uzurii</t>
  </si>
  <si>
    <t xml:space="preserve">    valoarea reziduală (fără TVA)</t>
  </si>
  <si>
    <t xml:space="preserve">    prima companiei de leasing</t>
  </si>
  <si>
    <t>valoarea preconizată a plăţilor de leasing (fără TVA)</t>
  </si>
  <si>
    <t>Achitarea cheltuielilor aferente perioadelor viitoare</t>
  </si>
  <si>
    <t>Investiţii în capitalul circulant</t>
  </si>
  <si>
    <t>Venitul din vînzarea activelor</t>
  </si>
  <si>
    <t>Fluxul monetar din activitatea investiţională</t>
  </si>
  <si>
    <t>Intrări de capital acţionar</t>
  </si>
  <si>
    <t>Finanţare cu destinaţie specială</t>
  </si>
  <si>
    <t>Intrarea mijloacelor din credite</t>
  </si>
  <si>
    <t>Stingerea creditelor</t>
  </si>
  <si>
    <t>Plăţi pentru leasing</t>
  </si>
  <si>
    <t>Achitarea dividendelor</t>
  </si>
  <si>
    <t>Fluxul monetar din activitatea financiară</t>
  </si>
  <si>
    <t>Flux monetar total pe perioada</t>
  </si>
  <si>
    <t>Mijloace băneşti la sfîrşitul perioadei</t>
  </si>
  <si>
    <t>BILANŢ</t>
  </si>
  <si>
    <t>Mijloace băneşti</t>
  </si>
  <si>
    <t>Creanţe</t>
  </si>
  <si>
    <t>Avansuri plătite</t>
  </si>
  <si>
    <t>Producţie finită</t>
  </si>
  <si>
    <t>Producţie în curs de execuţie</t>
  </si>
  <si>
    <t>Materiale şi componente</t>
  </si>
  <si>
    <t>TVA aferent mărfurilor achiziţionate</t>
  </si>
  <si>
    <t>Cheltuieli aferente perioadelor următoare</t>
  </si>
  <si>
    <t>Alte active circulante</t>
  </si>
  <si>
    <t>lord_Phoenix</t>
  </si>
  <si>
    <t>se ia în cont la decontările viitoare</t>
  </si>
  <si>
    <t>imediat după luarea la evidenţă</t>
  </si>
  <si>
    <t>mii m2</t>
  </si>
  <si>
    <t>anual (!)</t>
  </si>
  <si>
    <t>RAPORTUL PRIVIND REZULTATELE FINANCIARE</t>
  </si>
  <si>
    <t>Vînzări nete</t>
  </si>
  <si>
    <t xml:space="preserve"> - Costul mărfurilor vîndute</t>
  </si>
  <si>
    <t xml:space="preserve">   materiale şi componente</t>
  </si>
  <si>
    <t xml:space="preserve">   remunerarea muncii</t>
  </si>
  <si>
    <t xml:space="preserve">   impozite ce ţin de cheltuielile curente</t>
  </si>
  <si>
    <t xml:space="preserve">   cheltuieli de producere</t>
  </si>
  <si>
    <t>numai după rambursarea creditelor investiţionale</t>
  </si>
  <si>
    <t xml:space="preserve">   uzura</t>
  </si>
  <si>
    <t>Profitul brut</t>
  </si>
  <si>
    <t xml:space="preserve"> - Cheltuieli comerciale</t>
  </si>
  <si>
    <t xml:space="preserve"> - Cheltuieli generale şi administrative</t>
  </si>
  <si>
    <t>Profit (pierdere) din vînzări</t>
  </si>
  <si>
    <t xml:space="preserve">        perioada de achitare</t>
  </si>
  <si>
    <t xml:space="preserve">    Asigurare</t>
  </si>
  <si>
    <t xml:space="preserve">        rata</t>
  </si>
  <si>
    <t>Impozitul funciar</t>
  </si>
  <si>
    <t>Investiţii în mijloace circulante pentru efectuarea decontărilor</t>
  </si>
  <si>
    <t xml:space="preserve">    suprafaţa impozabilă</t>
  </si>
  <si>
    <t xml:space="preserve">    perioada de achitare</t>
  </si>
  <si>
    <t>Alte impozite ce ţin de cheltuieli operaţionale</t>
  </si>
  <si>
    <t>Alte impozite din vînzări</t>
  </si>
  <si>
    <t xml:space="preserve">    rata</t>
  </si>
  <si>
    <t xml:space="preserve">    baza impozabilă</t>
  </si>
  <si>
    <t xml:space="preserve">     rata procentuală</t>
  </si>
  <si>
    <t>3. IMPOZITE CE ŢIN DE REZULTATELE FINANCIARE</t>
  </si>
  <si>
    <t>Impozit pe proprietate</t>
  </si>
  <si>
    <t xml:space="preserve">    valoarea medie a proprietăţii pe perioada de calcul</t>
  </si>
  <si>
    <t xml:space="preserve">    valoarea proprietăţii, eliberată de impozit</t>
  </si>
  <si>
    <t xml:space="preserve">    rata impozitului</t>
  </si>
  <si>
    <t>Alte impozite referitoare la rezultatele financiare</t>
  </si>
  <si>
    <t xml:space="preserve">     baza impozabilă</t>
  </si>
  <si>
    <t xml:space="preserve">     rata</t>
  </si>
  <si>
    <t>IMPOZIT PE VENIT</t>
  </si>
  <si>
    <t xml:space="preserve">     rata impozitului</t>
  </si>
  <si>
    <t>Impozitul pe venit calculat</t>
  </si>
  <si>
    <t xml:space="preserve">     profitul pînă la impozitare</t>
  </si>
  <si>
    <t xml:space="preserve">     dobînda la credit, achitată din profit</t>
  </si>
  <si>
    <t>1. VENITURI/CHELTUIELI DIN ALTE VÎNZĂRI</t>
  </si>
  <si>
    <t>Venituri / cheltuieli din vînzarea activelor pe termen lung</t>
  </si>
  <si>
    <t>Venituri (+) / Cheltuieli (-) din alte vînzări, incl. TVA</t>
  </si>
  <si>
    <t>Venituri (+) / Cheltuieli (-) din alte vînzări, fără TVA</t>
  </si>
  <si>
    <t xml:space="preserve">    TVA de la alte venituri/cheltuieli</t>
  </si>
  <si>
    <t>2. ALTE VENITURI / CHELTUIELI</t>
  </si>
  <si>
    <t>Dobînda din depozite bancare</t>
  </si>
  <si>
    <t xml:space="preserve">     rata anuală a dobînzii</t>
  </si>
  <si>
    <t>Alte venituri (+)/cheltuieli (-), incl. TVA</t>
  </si>
  <si>
    <t>ESTATE: БАЛАНС ПО ОБЪЕКТУ</t>
  </si>
  <si>
    <t>Дата регистрации модели</t>
  </si>
  <si>
    <t>I. ACTIVE PE TERMEN LUNG</t>
  </si>
  <si>
    <t>Active nemateriale</t>
  </si>
  <si>
    <t>Active materiale pe termen lung</t>
  </si>
  <si>
    <t>Active materiale în curs de execuţie</t>
  </si>
  <si>
    <t>Investiţii pe termen scurt în hîrtii de valoare</t>
  </si>
  <si>
    <t xml:space="preserve">    от курсовой разницы при расчетах с покупателями</t>
  </si>
  <si>
    <t xml:space="preserve">    от курсовой разницы при расчетах с поставщиками</t>
  </si>
  <si>
    <t>3. ПРИБЫЛЬ (УБЫТОК) ОТ КУРСОВОЙ РАЗНИЦЫ</t>
  </si>
  <si>
    <t xml:space="preserve">    от курсовой и инфляционной разницы в запасах</t>
  </si>
  <si>
    <t>4. ДИВИДЕНДЫ</t>
  </si>
  <si>
    <t>4. DIVIDENDS</t>
  </si>
  <si>
    <t>3. EXCHANGE PROFIT (LOSS)</t>
  </si>
  <si>
    <t xml:space="preserve">    from payments from customers</t>
  </si>
  <si>
    <t xml:space="preserve">    from payments to suppliers</t>
  </si>
  <si>
    <t xml:space="preserve">    from inventories</t>
  </si>
  <si>
    <t>Прочие внереализац. доходы (+) / расходы (-), с НДС</t>
  </si>
  <si>
    <t>Доходы (+) / расходы (-) от проч. реализации, с НДС</t>
  </si>
  <si>
    <t xml:space="preserve">    от прочей деятельности</t>
  </si>
  <si>
    <t xml:space="preserve">     pentru mărfurile livrate</t>
  </si>
  <si>
    <t xml:space="preserve">     pentru active pe termen lung</t>
  </si>
  <si>
    <t>Decontările cu bugetul</t>
  </si>
  <si>
    <t>Decontările cu personalul</t>
  </si>
  <si>
    <t>Avansuri de la cumpărători</t>
  </si>
  <si>
    <t>Credite pe termen scurt</t>
  </si>
  <si>
    <t>Alte datorii pe termen scurt</t>
  </si>
  <si>
    <t>Datorii pe termen lung</t>
  </si>
  <si>
    <t>Capital acţionar</t>
  </si>
  <si>
    <t>Profit nerepartizat</t>
  </si>
  <si>
    <t>Alte surse de finanţare</t>
  </si>
  <si>
    <t>Total capital propriu</t>
  </si>
  <si>
    <t xml:space="preserve"> = TOTAL PASIV</t>
  </si>
  <si>
    <t>Verificarea egalării bilanţului</t>
  </si>
  <si>
    <t>Grafic: Active pe termen scurt</t>
  </si>
  <si>
    <t>INDICATORII SITUAŢIEI FINANCIARE</t>
  </si>
  <si>
    <t>Rentabilitatea activelor</t>
  </si>
  <si>
    <t>Rentabilitatea capitalului propriu</t>
  </si>
  <si>
    <t>Rentabilitatea activelor pe termen lung</t>
  </si>
  <si>
    <t>Cheltuieli operaţionale la venituri din vînzări (raport)</t>
  </si>
  <si>
    <t>Profitabilitatea vînzărilor</t>
  </si>
  <si>
    <t>Rentabilitatea profitului contabil (brut)</t>
  </si>
  <si>
    <t>Rentabilitatea profitului net</t>
  </si>
  <si>
    <t>Viteza de rotaţie a activelor</t>
  </si>
  <si>
    <t xml:space="preserve">      datorii privind impozite</t>
  </si>
  <si>
    <t xml:space="preserve">      alţi creditori</t>
  </si>
  <si>
    <t>Datorii faţă de fondatori şi alţi participanţi</t>
  </si>
  <si>
    <t>Avansuri primite</t>
  </si>
  <si>
    <t>Rezerve pentru cheltuieli şi plăţi preliminare</t>
  </si>
  <si>
    <t xml:space="preserve">     TOTAL capitolul V</t>
  </si>
  <si>
    <t xml:space="preserve">    интервал, в котором впервые взят  кредит</t>
  </si>
  <si>
    <t>Выплаченные проценты</t>
  </si>
  <si>
    <t xml:space="preserve">    проценты, выплачиваемые из прибыли</t>
  </si>
  <si>
    <t>Задолженность на конец текущего периода</t>
  </si>
  <si>
    <t xml:space="preserve"> = Итого: Поступления от кредитов</t>
  </si>
  <si>
    <t xml:space="preserve"> = Итого: Погашение кредитов</t>
  </si>
  <si>
    <t xml:space="preserve"> = Итого: Задолженность по кредитам</t>
  </si>
  <si>
    <t>Rata anuală prognozată externă</t>
  </si>
  <si>
    <t>a inflaţiei valutei străine</t>
  </si>
  <si>
    <t>Similar, recalculat pentru perioada, echivalentă cu pasul proiectului</t>
  </si>
  <si>
    <t>Multiplicatorul creşterii preţurilor pentru valuta străină</t>
  </si>
  <si>
    <t>Rata de refinanţare a BN</t>
  </si>
  <si>
    <t xml:space="preserve">Rata dobînzii la credite, în limitele căreia </t>
  </si>
  <si>
    <t>se micşorează profitul impozabil:</t>
  </si>
  <si>
    <t>valuta de bază</t>
  </si>
  <si>
    <t>valuta străină</t>
  </si>
  <si>
    <t>Preţurile constante</t>
  </si>
  <si>
    <t>Preţuri curente</t>
  </si>
  <si>
    <t>( inflaţia nu se ia în calcul)</t>
  </si>
  <si>
    <t>(inclusiv inflaţia)</t>
  </si>
  <si>
    <t>PLANUL DE COMERCIALIZARE</t>
  </si>
  <si>
    <t>Coeficientul mediu de utilizare a capacităţii de producere</t>
  </si>
  <si>
    <t xml:space="preserve">     Volumul nominal</t>
  </si>
  <si>
    <t>VOLUMUL VÎNZĂRILOR (în unităţi)</t>
  </si>
  <si>
    <t>Коэффициент срочной ликвидности</t>
  </si>
  <si>
    <t>Коэффициент абсолютной ликвидности</t>
  </si>
  <si>
    <t>Доля долгосрочных кредитов в валюте баланса</t>
  </si>
  <si>
    <t>Общий коэффициент покрытия долга</t>
  </si>
  <si>
    <t>Рентабельность активов</t>
  </si>
  <si>
    <t>Рентабельность собственного капитала</t>
  </si>
  <si>
    <t>Рентабельность постоянных активов</t>
  </si>
  <si>
    <t>Коэффициент общей платежеспособности</t>
  </si>
  <si>
    <t>Коэффициент автономии</t>
  </si>
  <si>
    <t>Расчет эффективности инвестиций выполнен для:</t>
  </si>
  <si>
    <t>Учитываемые денежные потоки проекта:</t>
  </si>
  <si>
    <t>Учитывать?</t>
  </si>
  <si>
    <t>Валюта расчетов:</t>
  </si>
  <si>
    <t xml:space="preserve">    за исключением процентов по кредитам</t>
  </si>
  <si>
    <t>Чистый денежный поток</t>
  </si>
  <si>
    <t>Дисконтированный чистый денежный поток</t>
  </si>
  <si>
    <t>Чистая приведенная стоимость (NPV)</t>
  </si>
  <si>
    <t>График: Доходы и расходы проекта</t>
  </si>
  <si>
    <t>График: Чистая прибыль</t>
  </si>
  <si>
    <t>Суммарные оборотные активы</t>
  </si>
  <si>
    <t>Суммарные внеоборотные активы</t>
  </si>
  <si>
    <t xml:space="preserve">    № периода ввода в действие оборудования</t>
  </si>
  <si>
    <t>Чистый оборотный капитал</t>
  </si>
  <si>
    <t>Период сбора дебиторской задолженности</t>
  </si>
  <si>
    <t>Период сбора кредиторской задолженности</t>
  </si>
  <si>
    <t>разы</t>
  </si>
  <si>
    <t>Покрытие процентов по кредитам</t>
  </si>
  <si>
    <t>ОЦЕНКА БИЗНЕСА</t>
  </si>
  <si>
    <t xml:space="preserve"> -  Impozite ce ţin de rezultatele financiare</t>
  </si>
  <si>
    <t xml:space="preserve"> - Dobînda spre plată</t>
  </si>
  <si>
    <t xml:space="preserve"> + Profit (pierderi) din alte vînzări</t>
  </si>
  <si>
    <t xml:space="preserve"> + venituri din diferenţa de curs</t>
  </si>
  <si>
    <t xml:space="preserve"> + Alte venituri excepţionale (cheltuieli) </t>
  </si>
  <si>
    <t>Profit pînă la impozitare</t>
  </si>
  <si>
    <t xml:space="preserve"> - Impozitul pe profit</t>
  </si>
  <si>
    <t>Profitul net (pierdere)</t>
  </si>
  <si>
    <t xml:space="preserve"> - dividende</t>
  </si>
  <si>
    <t xml:space="preserve"> = profit nerepartizat</t>
  </si>
  <si>
    <t xml:space="preserve">    plăţi de leasing calculate</t>
  </si>
  <si>
    <t>Grafic: Venituri şi cheltuieli aferente proiectului</t>
  </si>
  <si>
    <t>Grafic: Profit net</t>
  </si>
  <si>
    <t>ANEXĂ LA RAPORTUL PRIVIND REZULTATELE FINANCIARE (CONTUL DE PROFIT ŞI PIERDERI)</t>
  </si>
  <si>
    <t>BusinessValue</t>
  </si>
  <si>
    <t>банка</t>
  </si>
  <si>
    <t>bank</t>
  </si>
  <si>
    <t>Максимальная ставка кредитования</t>
  </si>
  <si>
    <t>Maximum interest rate</t>
  </si>
  <si>
    <t>Общая величина ранее осуществленных инвестиций</t>
  </si>
  <si>
    <t xml:space="preserve">    учитывать при оценке эффективности в сумме:</t>
  </si>
  <si>
    <t xml:space="preserve">    </t>
  </si>
  <si>
    <t>Alte venituri (+)/cheltuieli (-), fără TVA</t>
  </si>
  <si>
    <t>3. PROFIT (PIERDERE) DE LA DIFERENŢA DE CURS</t>
  </si>
  <si>
    <t xml:space="preserve">     din diferenţa de curs în decontările cu cumpărătorii</t>
  </si>
  <si>
    <t xml:space="preserve">     din diferenţa de curs în decontările cu furnizorii</t>
  </si>
  <si>
    <t xml:space="preserve">     din diferenţa de curs şi a inflaţiei în stocuri</t>
  </si>
  <si>
    <t>4. DIVIDENDE</t>
  </si>
  <si>
    <t>Dividende la acţiunile privelegiate</t>
  </si>
  <si>
    <t>Dividende la acţiuni ordinare</t>
  </si>
  <si>
    <t xml:space="preserve">    numărul perioadei din care se efectuiază plata dividendelor</t>
  </si>
  <si>
    <t xml:space="preserve">    cota profitului, pentru plata dividendelor</t>
  </si>
  <si>
    <t>RAPORT PRIVIND FLUXUL MONETAR</t>
  </si>
  <si>
    <t>Venituri din vînzări</t>
  </si>
  <si>
    <t>Cheltuieli pentru materiale şi componente</t>
  </si>
  <si>
    <t>Salariul</t>
  </si>
  <si>
    <t>Cheltuieli generale</t>
  </si>
  <si>
    <t>Impozite</t>
  </si>
  <si>
    <t>Achitarea dobînzii la credit</t>
  </si>
  <si>
    <t>Alte venituri</t>
  </si>
  <si>
    <t>Alte cheltuieli</t>
  </si>
  <si>
    <t>Fluxul monetar din activitatea operaţională</t>
  </si>
  <si>
    <t>Investiţii în clădiri şi construcţii</t>
  </si>
  <si>
    <t>Investiţii în utilaje şi alte active</t>
  </si>
  <si>
    <t>BASIC COMPANY RESULTS</t>
  </si>
  <si>
    <t>Стоимость чистых активов, за вычетом ден. средств</t>
  </si>
  <si>
    <t>Чистая прибыль</t>
  </si>
  <si>
    <t>Дивиденды</t>
  </si>
  <si>
    <t>NPV</t>
  </si>
  <si>
    <t>НАЛОГИ И ИСПОЛЬЗОВАНИЕ ПРИБЫЛИ</t>
  </si>
  <si>
    <t>Finanţare bugetară</t>
  </si>
  <si>
    <t>Bugetul de stat</t>
  </si>
  <si>
    <t xml:space="preserve">    finaţare cu destinaţie specială</t>
  </si>
  <si>
    <t xml:space="preserve">     credite acordate</t>
  </si>
  <si>
    <t xml:space="preserve">     rambursarea creditelor</t>
  </si>
  <si>
    <t xml:space="preserve">     rata dobînzii la creditele acordate</t>
  </si>
  <si>
    <t>Buget local</t>
  </si>
  <si>
    <t xml:space="preserve">    credite acordate</t>
  </si>
  <si>
    <t xml:space="preserve">    credite rambursate</t>
  </si>
  <si>
    <t xml:space="preserve">    rata dobînzii la creditele acordate</t>
  </si>
  <si>
    <t>Veniturile bugetelor</t>
  </si>
  <si>
    <t>Fluxul monetar total aferent bugetului de stat</t>
  </si>
  <si>
    <t>Fluxul monetar total aferent bugetului local</t>
  </si>
  <si>
    <t>Rata de actualizare</t>
  </si>
  <si>
    <t>Venit net actualizat:</t>
  </si>
  <si>
    <t xml:space="preserve">    a bugetului de stat</t>
  </si>
  <si>
    <t xml:space="preserve">    a bugetului local</t>
  </si>
  <si>
    <t>de stat</t>
  </si>
  <si>
    <t xml:space="preserve">    fluxurile actualizate aferente bugetului de stat</t>
  </si>
  <si>
    <t xml:space="preserve">    fluxurile actualizate aferente bugetului local</t>
  </si>
  <si>
    <t xml:space="preserve">    valoarea acţiunulor privilegiate emise</t>
  </si>
  <si>
    <t>Notă: Soldul mijloacelor în cont</t>
  </si>
  <si>
    <t>Sumelor</t>
  </si>
  <si>
    <t>Rata impozitului pe venitul persoanelor fizice</t>
  </si>
  <si>
    <t>Finaţare cu destinaţie specială</t>
  </si>
  <si>
    <t>RAPORT CONSOLIDAT PRIVIND INVESTIŢIILE ÎN PROIECT</t>
  </si>
  <si>
    <t>Dobînda la credite în faza investiţională</t>
  </si>
  <si>
    <t xml:space="preserve">    numărul perioadei în care ia sfîrşit faza investiţională</t>
  </si>
  <si>
    <t xml:space="preserve">    investiţii capitale în curs de execuţie</t>
  </si>
  <si>
    <t xml:space="preserve">    valoarea bilanţieră</t>
  </si>
  <si>
    <t xml:space="preserve">    valoarea reziduală</t>
  </si>
  <si>
    <t xml:space="preserve">Salariul în acord achitat </t>
  </si>
  <si>
    <t xml:space="preserve">    Salariul în acord</t>
  </si>
  <si>
    <t>ESTATE?</t>
  </si>
  <si>
    <t xml:space="preserve">    VAT to previous periods investments</t>
  </si>
  <si>
    <t xml:space="preserve">    VAT accrued</t>
  </si>
  <si>
    <t xml:space="preserve">    sale of asset (net of VAT)</t>
  </si>
  <si>
    <t xml:space="preserve">    VAT to revenue from sale of asset</t>
  </si>
  <si>
    <t>period</t>
  </si>
  <si>
    <t xml:space="preserve"> = Total: Equipment etc.</t>
  </si>
  <si>
    <t xml:space="preserve">    payments net of VAT</t>
  </si>
  <si>
    <t xml:space="preserve">    import custom duty</t>
  </si>
  <si>
    <t xml:space="preserve">    profit / loss from sale of asset</t>
  </si>
  <si>
    <t xml:space="preserve"> = Total: Buildings</t>
  </si>
  <si>
    <t xml:space="preserve"> = Total: Deferred expenses</t>
  </si>
  <si>
    <t xml:space="preserve"> = Total: FIXED ASSETS</t>
  </si>
  <si>
    <t>LEASING</t>
  </si>
  <si>
    <t xml:space="preserve">    type of leasing</t>
  </si>
  <si>
    <t xml:space="preserve">    No. of period when equipment operation started</t>
  </si>
  <si>
    <t xml:space="preserve">    leasing term</t>
  </si>
  <si>
    <t>Equipment cost (including VAT)</t>
  </si>
  <si>
    <t xml:space="preserve">    net book value (net of VAT)</t>
  </si>
  <si>
    <t>Зарплата</t>
  </si>
  <si>
    <t>Salary</t>
  </si>
  <si>
    <t xml:space="preserve">    interest paid</t>
  </si>
  <si>
    <t xml:space="preserve">    calculated leasing payments (net of VAT)</t>
  </si>
  <si>
    <t xml:space="preserve">    net of VAT</t>
  </si>
  <si>
    <t xml:space="preserve">    total assets cost (net of VAT)</t>
  </si>
  <si>
    <t>Retained Earnings</t>
  </si>
  <si>
    <t>Total Shareholders' Equity</t>
  </si>
  <si>
    <t xml:space="preserve">    From Supplies of Raw Materials and Components</t>
  </si>
  <si>
    <t xml:space="preserve">    From Supplies of Fixed Assets</t>
  </si>
  <si>
    <t>Cash Receipts from Customers</t>
  </si>
  <si>
    <t>Cash Paid to Suppliers</t>
  </si>
  <si>
    <t>Interest Paid</t>
  </si>
  <si>
    <t>Other Revenues</t>
  </si>
  <si>
    <t>Income tax</t>
  </si>
  <si>
    <t>EFFICIENCY RATIOS</t>
  </si>
  <si>
    <t>Efficiency is calculated for:</t>
  </si>
  <si>
    <t xml:space="preserve">    discount rate for the calculation step</t>
  </si>
  <si>
    <t xml:space="preserve">    discount index</t>
  </si>
  <si>
    <t>Cash flows taken into account:</t>
  </si>
  <si>
    <t xml:space="preserve">    Except Interest Paid</t>
  </si>
  <si>
    <t>Discounted Net Cash Flow</t>
  </si>
  <si>
    <t>Accumulated Discounted Net Cash Flow</t>
  </si>
  <si>
    <t>Simple Payback Period</t>
  </si>
  <si>
    <t xml:space="preserve">    sign of the cash at the end of period</t>
  </si>
  <si>
    <t>Net Present Value (NPV)</t>
  </si>
  <si>
    <t>Discounted Payback Period (PBP)</t>
  </si>
  <si>
    <t xml:space="preserve">    sign of the discounted cash at the end of period</t>
  </si>
  <si>
    <t>Internal Rate of Return (IRR)</t>
  </si>
  <si>
    <t>Net Present Value Ratio (NPVR)</t>
  </si>
  <si>
    <t xml:space="preserve">    investments</t>
  </si>
  <si>
    <t xml:space="preserve">    discounted value of investments</t>
  </si>
  <si>
    <t>Инвестиции в здания и сооружения</t>
  </si>
  <si>
    <t>Инвестиции в оборудование и другие активы</t>
  </si>
  <si>
    <t xml:space="preserve">    доля прибыли, направляемая на дивиденды</t>
  </si>
  <si>
    <t>Ставка налога на доходы физических лиц</t>
  </si>
  <si>
    <t>Modified Internal Rate of Return (MIRR)</t>
  </si>
  <si>
    <t>Weighted average cost of capital</t>
  </si>
  <si>
    <t>Discount rate of investments</t>
  </si>
  <si>
    <t>Chart: Net Present Value of Cash Flow</t>
  </si>
  <si>
    <t xml:space="preserve"> для постоянных цен</t>
  </si>
  <si>
    <t>total investments costs</t>
  </si>
  <si>
    <t>equity</t>
  </si>
  <si>
    <t>Use?</t>
  </si>
  <si>
    <t>Advances received</t>
  </si>
  <si>
    <t xml:space="preserve">    проценты начисленные</t>
  </si>
  <si>
    <t xml:space="preserve">    задолженность по процентам</t>
  </si>
  <si>
    <t xml:space="preserve">    in NWC during step of calculation</t>
  </si>
  <si>
    <t xml:space="preserve">    staying till next step</t>
  </si>
  <si>
    <t>PAYMENTS TO SUPPLIERS</t>
  </si>
  <si>
    <t>Payments for raw materials and components:</t>
  </si>
  <si>
    <t>Accounts payable</t>
  </si>
  <si>
    <t>Advances paid</t>
  </si>
  <si>
    <t>TAXES PAYABLE</t>
  </si>
  <si>
    <t>On profit tax</t>
  </si>
  <si>
    <t>On other taxes</t>
  </si>
  <si>
    <t>Current salary payable</t>
  </si>
  <si>
    <t xml:space="preserve">    salary payment term</t>
  </si>
  <si>
    <t>CASH RESERVES</t>
  </si>
  <si>
    <t>Cash reserves for current payments</t>
  </si>
  <si>
    <t xml:space="preserve">    create?</t>
  </si>
  <si>
    <t xml:space="preserve">    term of coverage</t>
  </si>
  <si>
    <t>Total current assets</t>
  </si>
  <si>
    <t>Total current liabilities</t>
  </si>
  <si>
    <t>Net working capital</t>
  </si>
  <si>
    <t>SALARY &amp; WAGES PAYABLE</t>
  </si>
  <si>
    <t>Net working capital changes</t>
  </si>
  <si>
    <t>Capital used in payments</t>
  </si>
  <si>
    <t>Investments in net working capital</t>
  </si>
  <si>
    <t>term, days</t>
  </si>
  <si>
    <t>NET WORKING CAPITAL</t>
  </si>
  <si>
    <t>SHAREHOLDERS' CAPITAL</t>
  </si>
  <si>
    <t>share in stock</t>
  </si>
  <si>
    <t>Preference shares</t>
  </si>
  <si>
    <t>Анализ чувствительности проекта</t>
  </si>
  <si>
    <t>interest:</t>
  </si>
  <si>
    <t>LOANS</t>
  </si>
  <si>
    <t>Currency of the loan</t>
  </si>
  <si>
    <t>Type of the loan</t>
  </si>
  <si>
    <t>Perioada de achitare (zile)</t>
  </si>
  <si>
    <t>Accize şi taxe de export</t>
  </si>
  <si>
    <t>Taxe de import</t>
  </si>
  <si>
    <t>1. TAXA PE VALOAREA ADĂUGATĂ</t>
  </si>
  <si>
    <t xml:space="preserve">     cota</t>
  </si>
  <si>
    <t xml:space="preserve">     perioada de achitare</t>
  </si>
  <si>
    <t xml:space="preserve">     modul de luare in calcul a TVA supraplătit</t>
  </si>
  <si>
    <t xml:space="preserve">     TVA deductibil din activele puse în funcţiune</t>
  </si>
  <si>
    <t>TVA incasat</t>
  </si>
  <si>
    <t xml:space="preserve">      din vînzări de produse (lucrări, servicii)</t>
  </si>
  <si>
    <t xml:space="preserve">      din vînzări de active</t>
  </si>
  <si>
    <t xml:space="preserve">      din alte activităţi</t>
  </si>
  <si>
    <t>TVA achitat</t>
  </si>
  <si>
    <t xml:space="preserve">      la plata pentru materiale şi componente </t>
  </si>
  <si>
    <t xml:space="preserve">      la plata cheltuielilor curente</t>
  </si>
  <si>
    <t xml:space="preserve">      la plata leasingului şi pentru răscumpărarea activelor arendate</t>
  </si>
  <si>
    <t xml:space="preserve">      la plata pentru activele pe termen lung</t>
  </si>
  <si>
    <t>Achtări de TVA la buget (sau restituirea din buget)</t>
  </si>
  <si>
    <t xml:space="preserve">      TVA deductibil pentru active pe termen lung</t>
  </si>
  <si>
    <t xml:space="preserve">      TVA achitat, dar încă nededus</t>
  </si>
  <si>
    <t xml:space="preserve">      TVA de achitat în buget (sau restituirea din buget)</t>
  </si>
  <si>
    <t xml:space="preserve">      aflat în circulaţie pe parcursul perioadei de calcul</t>
  </si>
  <si>
    <t>2. IMPOZITE REFERITOARE LA CHELTUIELI OPERAŢIONALE</t>
  </si>
  <si>
    <t xml:space="preserve">    Contribuţii de asigurări sociale de stat</t>
  </si>
  <si>
    <t xml:space="preserve">        rata impozitului</t>
  </si>
  <si>
    <t xml:space="preserve"> = Total current payments</t>
  </si>
  <si>
    <t>Материалы и комплектующие списанные на затраты</t>
  </si>
  <si>
    <t>Расходы на материалы и комплектующие</t>
  </si>
  <si>
    <t>Paid for Raw Materials and Components</t>
  </si>
  <si>
    <t xml:space="preserve"> = Итого: затраты в отчете о прибылях и убытках</t>
  </si>
  <si>
    <t xml:space="preserve"> = Total costs in income statement</t>
  </si>
  <si>
    <t>Row materials and components costs</t>
  </si>
  <si>
    <t xml:space="preserve">    коммерческие расходы</t>
  </si>
  <si>
    <t xml:space="preserve">    материалы и комплектующие</t>
  </si>
  <si>
    <t xml:space="preserve">    оплата труда</t>
  </si>
  <si>
    <t xml:space="preserve">    налоги, относимые на текущие затраты</t>
  </si>
  <si>
    <t xml:space="preserve">    производственные расходы</t>
  </si>
  <si>
    <t xml:space="preserve">    начисленные лизинговые платежи</t>
  </si>
  <si>
    <t xml:space="preserve">    Raw Materials and Components</t>
  </si>
  <si>
    <t xml:space="preserve">    Salary &amp; Wages</t>
  </si>
  <si>
    <t xml:space="preserve">    Taxes Included in Cost of Sales</t>
  </si>
  <si>
    <t xml:space="preserve">    Production Expenses</t>
  </si>
  <si>
    <t xml:space="preserve">    Leasing Expenses</t>
  </si>
  <si>
    <t xml:space="preserve">    Depreciation</t>
  </si>
  <si>
    <t>Norma de profitabilitate a cheltuielilor investiţionale</t>
  </si>
  <si>
    <t>Profitul net total din perioada analizată</t>
  </si>
  <si>
    <t>Necesitatea investiţiilor</t>
  </si>
  <si>
    <t>Estimarea valorii afacerii</t>
  </si>
  <si>
    <t>Graficul sensibilităţii proiectului</t>
  </si>
  <si>
    <t>Modificarea rezultatelor consolidate pentru întreprindere:</t>
  </si>
  <si>
    <t>Graficul sensibilităţii întreprinderii în general</t>
  </si>
  <si>
    <t>Analiza sensibilităţii proiectului</t>
  </si>
  <si>
    <t>Utilaj, primit în leasing</t>
  </si>
  <si>
    <t>Necesarul de investiţii:</t>
  </si>
  <si>
    <t>Sursele de finanţare:</t>
  </si>
  <si>
    <t>Plăţile pentru capitalul utilizat:</t>
  </si>
  <si>
    <t>Nivelul preţurilor la producţia vîndută</t>
  </si>
  <si>
    <t>Volumul vînzărilor</t>
  </si>
  <si>
    <t>Costul materialelor şi componentelor</t>
  </si>
  <si>
    <t>Mărimea cheltuielilor totale</t>
  </si>
  <si>
    <t>Mărimea investiţiilor în activele pe termen lung</t>
  </si>
  <si>
    <t>Parametrii de analiză a sensibilităţii</t>
  </si>
  <si>
    <t>Rezultatele consolidate aferente realizării proiectelor</t>
  </si>
  <si>
    <t>DATE GENERALE</t>
  </si>
  <si>
    <t>Includerea proiectelor în rezultatele consolidate:</t>
  </si>
  <si>
    <t>A include informaţia despre companie?</t>
  </si>
  <si>
    <t>se exclude</t>
  </si>
  <si>
    <t xml:space="preserve">nu </t>
  </si>
  <si>
    <t>IMPOZITE ŞI UTILIZAREA PROFITULUI</t>
  </si>
  <si>
    <t>TVA conform bilanţului contabil consolidat</t>
  </si>
  <si>
    <t>Impozitul pe profit conform bilanţului contabil consolidat</t>
  </si>
  <si>
    <t>Dividende conform bilanţului contabil consolidat</t>
  </si>
  <si>
    <t>Descrierea companiei</t>
  </si>
  <si>
    <t>PROIECTELE COMPANIEI</t>
  </si>
  <si>
    <t>Foaia</t>
  </si>
  <si>
    <t>Numărul perioadelor</t>
  </si>
  <si>
    <t>BILANŢUL DE DESCHIDERE</t>
  </si>
  <si>
    <t>ACTIV</t>
  </si>
  <si>
    <t>Cod. rînd</t>
  </si>
  <si>
    <t>Investiţii în active financiare pe termen lung</t>
  </si>
  <si>
    <t>Active amânate privind impozite</t>
  </si>
  <si>
    <t>Alte active pe termen lung</t>
  </si>
  <si>
    <t>Оборотный капитал компании</t>
  </si>
  <si>
    <t>Изменение оборотного капитала</t>
  </si>
  <si>
    <t xml:space="preserve">    находящихся в обороте в течение расчетного периода</t>
  </si>
  <si>
    <t xml:space="preserve">    переходящих в следующий расчетный период</t>
  </si>
  <si>
    <t>1. ДОХОДЫ / РАСХОДЫ ОТ ПРОЧЕЙ РЕАЛИЗАЦИИ</t>
  </si>
  <si>
    <t xml:space="preserve">    НДС к прочим доходам / расходам</t>
  </si>
  <si>
    <t xml:space="preserve">    то же, без НДС</t>
  </si>
  <si>
    <t>2. ПРОЧИЕ ВНЕРЕАЛИЗАЦИОННЫЕ ДОХОДЫ / РАСХОДЫ</t>
  </si>
  <si>
    <t>Доход по депозитам</t>
  </si>
  <si>
    <t xml:space="preserve">    годовая ставка</t>
  </si>
  <si>
    <t>Доход / убыток от реализации постоянных активов</t>
  </si>
  <si>
    <t>Дивиденды по привилегированным акциям</t>
  </si>
  <si>
    <t>Дивиденды по обыкновенным акциям</t>
  </si>
  <si>
    <t xml:space="preserve">    номер периода, с которого выплачиваются дивиденды</t>
  </si>
  <si>
    <t>Начисленный налог на прибыль</t>
  </si>
  <si>
    <t xml:space="preserve">    прибыль до налогообложения</t>
  </si>
  <si>
    <t xml:space="preserve">    проценты по кредиту, выплачиваемые из прибыли</t>
  </si>
  <si>
    <t xml:space="preserve">    льготы по налогу на прибыль</t>
  </si>
  <si>
    <t>Стоимость объекта (с НДС)</t>
  </si>
  <si>
    <t xml:space="preserve">    тип лизинга</t>
  </si>
  <si>
    <t xml:space="preserve">    срок лизинга</t>
  </si>
  <si>
    <t xml:space="preserve">    амортизационные отчисления</t>
  </si>
  <si>
    <t>Инфляция нарастающим итогом</t>
  </si>
  <si>
    <t>Accumulated inflation</t>
  </si>
  <si>
    <t xml:space="preserve">    остаточная стоимость (без НДС)</t>
  </si>
  <si>
    <t xml:space="preserve">    вознаграждение лизингодателю</t>
  </si>
  <si>
    <t>Выкуп основных средств по остаточной стоимости</t>
  </si>
  <si>
    <t xml:space="preserve">    НДС к платежам</t>
  </si>
  <si>
    <t xml:space="preserve">    авансы, уплаченные лизингодателю</t>
  </si>
  <si>
    <t xml:space="preserve">    арендованные основные средства (ост. стоимость)</t>
  </si>
  <si>
    <t xml:space="preserve">    налогооблагаемое имущество</t>
  </si>
  <si>
    <t xml:space="preserve">    балансовая стоимость после выкупа</t>
  </si>
  <si>
    <t xml:space="preserve">    остаточная стоимость после выкупа</t>
  </si>
  <si>
    <t xml:space="preserve">    амортизация средств у лизингополучателя после выкупа</t>
  </si>
  <si>
    <t xml:space="preserve">    НДС уплаченный при выкупе </t>
  </si>
  <si>
    <t>Валовая прибыль</t>
  </si>
  <si>
    <t>Прибыль (убыток) от продаж</t>
  </si>
  <si>
    <t>Прибыль до налогообложения</t>
  </si>
  <si>
    <t>Чистая прибыль (убыток)</t>
  </si>
  <si>
    <t>Обыкновенные акции:</t>
  </si>
  <si>
    <t>Акционер 1</t>
  </si>
  <si>
    <t>Акционер 2</t>
  </si>
  <si>
    <t xml:space="preserve">   spre plata de la cumpărători (fără TVA)</t>
  </si>
  <si>
    <t>DECONTĂRILE CU FURNIZORII</t>
  </si>
  <si>
    <t>Plata pentru materiale şi componente-subansamble:</t>
  </si>
  <si>
    <t>Suma facturilor spre achitare</t>
  </si>
  <si>
    <t xml:space="preserve">    datorie creditoare în cirulaţie în perioada de calcul</t>
  </si>
  <si>
    <t>Suma avansurilor plătite</t>
  </si>
  <si>
    <t xml:space="preserve">    aflate în circulaţie în perioada de calcul</t>
  </si>
  <si>
    <t>DECONTĂRILE CU BUGETUL</t>
  </si>
  <si>
    <t>Privind TVA</t>
  </si>
  <si>
    <t>Privind accize şi taxe de export</t>
  </si>
  <si>
    <t>Privind taxe de import</t>
  </si>
  <si>
    <t>Privind impozitul pe venit</t>
  </si>
  <si>
    <t>Privind alte impozite şi taxe</t>
  </si>
  <si>
    <t>DECONTĂRILE CU PERSONALUL</t>
  </si>
  <si>
    <t>Datorii curente privind salariile</t>
  </si>
  <si>
    <t xml:space="preserve">     frecvenţa achitării salariilor</t>
  </si>
  <si>
    <t>REZERVE DE MIJLOACE BĂNEŞTI</t>
  </si>
  <si>
    <t>Rezervarea mijloacelor pentru achitarea facturilor curente</t>
  </si>
  <si>
    <t xml:space="preserve">     a crea?</t>
  </si>
  <si>
    <t xml:space="preserve">     acoperirea necesităţilor</t>
  </si>
  <si>
    <t>Total active pe termen scurt</t>
  </si>
  <si>
    <t>Total datorii pe termen scurt</t>
  </si>
  <si>
    <t>Capitalul circulant al companiei</t>
  </si>
  <si>
    <t>Variaţia capitalului circulant</t>
  </si>
  <si>
    <t>Capital participant în decontările cu contragenţi</t>
  </si>
  <si>
    <t xml:space="preserve"> aflat în circulaţie în perioada de calcul</t>
  </si>
  <si>
    <t>cota</t>
  </si>
  <si>
    <t>termenul, zile</t>
  </si>
  <si>
    <t>CAPITAL CIRCULANT</t>
  </si>
  <si>
    <t>CAPITAL PROPRIU</t>
  </si>
  <si>
    <t>Acţiuni ordinare:</t>
  </si>
  <si>
    <t>cota parte în capital statutar</t>
  </si>
  <si>
    <t>Acţiuni privilegiate</t>
  </si>
  <si>
    <t>rentabilitatea:</t>
  </si>
  <si>
    <t>CREDITE</t>
  </si>
  <si>
    <t>Tipul creditului</t>
  </si>
  <si>
    <t>Valuta creditului</t>
  </si>
  <si>
    <t>Rata anuală a dobînzii</t>
  </si>
  <si>
    <t>Perioada de graţie la achitarea dobînzii</t>
  </si>
  <si>
    <t xml:space="preserve"> = Итого: Выплата процентов</t>
  </si>
  <si>
    <t xml:space="preserve">    задолженность по хозяйственным кредитам</t>
  </si>
  <si>
    <t xml:space="preserve">    задолженность по инвестиционным кредитам</t>
  </si>
  <si>
    <t>Текущие затраты к выручке от реализации</t>
  </si>
  <si>
    <t>Прибыльность продаж</t>
  </si>
  <si>
    <t xml:space="preserve">Рентабельность по балансовой прибыли </t>
  </si>
  <si>
    <t xml:space="preserve">Рентабельность по чистой прибыли </t>
  </si>
  <si>
    <t>Оборачиваемость активов</t>
  </si>
  <si>
    <t>Оборачиваемость собственного капитала</t>
  </si>
  <si>
    <t>Оборачиваемость постоянных активов</t>
  </si>
  <si>
    <t>Коэффициент общей ликвидности</t>
  </si>
  <si>
    <t xml:space="preserve">     înlesniri şi facilităţi  la plata impozitului pe venit</t>
  </si>
  <si>
    <t xml:space="preserve">     profit/pierdere acumulat anul curent</t>
  </si>
  <si>
    <t xml:space="preserve">     pierderi din anii trecuţi (la începutul perioadei)</t>
  </si>
  <si>
    <t xml:space="preserve">     pierderi din anii trecuţi casate</t>
  </si>
  <si>
    <t xml:space="preserve">     profitul la care se calculează impozitul</t>
  </si>
  <si>
    <t xml:space="preserve">     restituirea amînată a TVA din buget</t>
  </si>
  <si>
    <t>se restituie din buget</t>
  </si>
  <si>
    <t>Total achitări impozite</t>
  </si>
  <si>
    <t>Rata de creştere a cheltuielilor ca rezultat al inflaţiei</t>
  </si>
  <si>
    <t>Cota resurselor achiziţionate pe piaţa internă</t>
  </si>
  <si>
    <t>Cheltuieli curente a procesului de producţie</t>
  </si>
  <si>
    <t>Structura cheltuielilor (% în cheltuieli totale)</t>
  </si>
  <si>
    <t xml:space="preserve">     materiale şi componente</t>
  </si>
  <si>
    <t xml:space="preserve">     remunerarea muncii</t>
  </si>
  <si>
    <t xml:space="preserve">     impozite aferente cheltuielilor operaţionale</t>
  </si>
  <si>
    <t xml:space="preserve">     cheltuieli de producere</t>
  </si>
  <si>
    <t>plăţi de leasing calculate</t>
  </si>
  <si>
    <t xml:space="preserve">     cheltuieli comerciale</t>
  </si>
  <si>
    <t xml:space="preserve">     cheltuieli general-administrative</t>
  </si>
  <si>
    <t>TVA aferent cheltuielilor</t>
  </si>
  <si>
    <t xml:space="preserve"> = Active circulante</t>
  </si>
  <si>
    <t>Avansurile cumpărătorilor</t>
  </si>
  <si>
    <t>Decontările cu bugetul şi fondurile extrabugetare</t>
  </si>
  <si>
    <t>Decontări cu personalul</t>
  </si>
  <si>
    <t>= Datorii pe termen scurt</t>
  </si>
  <si>
    <t>= Capital circulant net</t>
  </si>
  <si>
    <t>Investiţiile capitale în curs de execuţie vor fi date în exploatare începînd cu</t>
  </si>
  <si>
    <t>Investiţii suplimentare în active pe termen lung (în întreprinderea ce desfăşoară activitatea, în preţuri curente)</t>
  </si>
  <si>
    <t>Cota activelor pe termen lung, achiziţionate pe piaţa internă</t>
  </si>
  <si>
    <t>rata medie ponderată de fluctuaţie a preţurilor</t>
  </si>
  <si>
    <t>Indicele de creştere a preţurilor</t>
  </si>
  <si>
    <t>Investiţii în active pe termen lung actualizat la rata inflaţiei</t>
  </si>
  <si>
    <t>Estimarea conform DA cu luarea în calcul a costului actualizat</t>
  </si>
  <si>
    <t xml:space="preserve">Estimarea medie a costului </t>
  </si>
  <si>
    <t>Valoarea</t>
  </si>
  <si>
    <t>Greutatea</t>
  </si>
  <si>
    <t>EFICIENŢA BUGETARĂ</t>
  </si>
  <si>
    <t>INDICATORII PRINCIPALI AI PROIECTULUI</t>
  </si>
  <si>
    <t>Venituri din vînzări (fără TVA)</t>
  </si>
  <si>
    <t>Cheltuieli operaţionale (fără TVA)</t>
  </si>
  <si>
    <t>Impozite şi taxe (în afară de TVA)</t>
  </si>
  <si>
    <t>Profit net</t>
  </si>
  <si>
    <t>Dividende</t>
  </si>
  <si>
    <t>Investiţii în active pe termen lung</t>
  </si>
  <si>
    <t>Investiţii în capital circulant net</t>
  </si>
  <si>
    <t>rata de actualizare (de discont)</t>
  </si>
  <si>
    <t>VNA (NPV)</t>
  </si>
  <si>
    <t>с выкупом (учет на балансе лизингодателя)</t>
  </si>
  <si>
    <t>с выкупом (учет на балансе лизингополучателя)</t>
  </si>
  <si>
    <t>оперативный (учет на балансе лизингодателя)</t>
  </si>
  <si>
    <t>оперативный (учет на балансе лизингополучателя)</t>
  </si>
  <si>
    <t>Привилегированные акции</t>
  </si>
  <si>
    <t>Показывать диалог "О программе"?</t>
  </si>
  <si>
    <t xml:space="preserve">    ставка ( руб. / тыс. кв. м )</t>
  </si>
  <si>
    <t>возвращается из бюджета</t>
  </si>
  <si>
    <t>зачитывается при будущих расчетах</t>
  </si>
  <si>
    <t>сразу после постановки на баланс</t>
  </si>
  <si>
    <t>только после возврата инвестиционных кредитов</t>
  </si>
  <si>
    <t>тыс. кв. м</t>
  </si>
  <si>
    <t>полных инвестиционных затрат</t>
  </si>
  <si>
    <t>собственного капитала</t>
  </si>
  <si>
    <t>да</t>
  </si>
  <si>
    <t>нет</t>
  </si>
  <si>
    <t>года</t>
  </si>
  <si>
    <t>none</t>
  </si>
  <si>
    <t>yes</t>
  </si>
  <si>
    <t>no</t>
  </si>
  <si>
    <t>years</t>
  </si>
  <si>
    <t>SALES PLAN</t>
  </si>
  <si>
    <t xml:space="preserve">    Nominal volume</t>
  </si>
  <si>
    <t>Average production level</t>
  </si>
  <si>
    <t>SALES VOLUME (in units)</t>
  </si>
  <si>
    <t>SALES PRICES (for unit, including VAT)</t>
  </si>
  <si>
    <t>TOTAL</t>
  </si>
  <si>
    <t>Currency</t>
  </si>
  <si>
    <t xml:space="preserve">    price net of VAT and excise duty</t>
  </si>
  <si>
    <t xml:space="preserve">    excise duty</t>
  </si>
  <si>
    <t xml:space="preserve">    sales tax</t>
  </si>
  <si>
    <t xml:space="preserve">    VAT</t>
  </si>
  <si>
    <t>Advalorem</t>
  </si>
  <si>
    <t>Fixed</t>
  </si>
  <si>
    <t>SALES REVENUES</t>
  </si>
  <si>
    <t xml:space="preserve">    goods sold (net of VAT)</t>
  </si>
  <si>
    <t xml:space="preserve">    including excise duty, custom duty, sales tax</t>
  </si>
  <si>
    <t xml:space="preserve">    revenues from sales:</t>
  </si>
  <si>
    <t xml:space="preserve">    cash sales (net of VAT)</t>
  </si>
  <si>
    <t xml:space="preserve">    advance sales (net of VAT)</t>
  </si>
  <si>
    <t xml:space="preserve">    credit sales (net of VAT)</t>
  </si>
  <si>
    <t xml:space="preserve">    total sales (net of VAT)</t>
  </si>
  <si>
    <t xml:space="preserve">    VAT received</t>
  </si>
  <si>
    <t xml:space="preserve">    advances in NWC during step of calculation</t>
  </si>
  <si>
    <t xml:space="preserve">    advances staying till next step</t>
  </si>
  <si>
    <t xml:space="preserve">    accounts receivable inside the step of calculation</t>
  </si>
  <si>
    <t>Cheltuieli pentru remunerarea muncii (incl. Contribuţii la Fondul Social şi asigurare)</t>
  </si>
  <si>
    <t>Uzura</t>
  </si>
  <si>
    <t>Soldul minimal de mijloace băneşti în cont</t>
  </si>
  <si>
    <t>ANALIZA SENSIBILITĂŢII</t>
  </si>
  <si>
    <t>Analiza este efectuată pentru proiectul:</t>
  </si>
  <si>
    <t>Valoarea iniţială</t>
  </si>
  <si>
    <t>pasul modificărilor</t>
  </si>
  <si>
    <t>Rezultatele analizei:</t>
  </si>
  <si>
    <t xml:space="preserve">    previous periods investments (net of VAT)</t>
  </si>
  <si>
    <t xml:space="preserve">    start operation from</t>
  </si>
  <si>
    <t xml:space="preserve">    No. of period of frontier crossing</t>
  </si>
  <si>
    <t xml:space="preserve">    total payments for the asset (net of VAT)</t>
  </si>
  <si>
    <t xml:space="preserve">    book value</t>
  </si>
  <si>
    <t xml:space="preserve">    unfinished investments</t>
  </si>
  <si>
    <t xml:space="preserve">    accounts payable</t>
  </si>
  <si>
    <t xml:space="preserve">    depreciation</t>
  </si>
  <si>
    <t xml:space="preserve">    depreciation (equal)</t>
  </si>
  <si>
    <t xml:space="preserve">    depreciation (accelerated),          for term of usage:</t>
  </si>
  <si>
    <t xml:space="preserve">    accumulated depreciation</t>
  </si>
  <si>
    <t xml:space="preserve">    net book value</t>
  </si>
  <si>
    <t xml:space="preserve">    cash purchases</t>
  </si>
  <si>
    <t>RAPORT INIŢIAL PRIVIND REZULTATELE FINANCIARE</t>
  </si>
  <si>
    <t>Venituri şi cheltuieli aferente activităţii de bază</t>
  </si>
  <si>
    <t>Costul vînzărilor</t>
  </si>
  <si>
    <t>Profit brut (pierdere globală)</t>
  </si>
  <si>
    <t xml:space="preserve">Alte venituri şi cheltuieli </t>
  </si>
  <si>
    <t>Dobînda de încasat</t>
  </si>
  <si>
    <t>Dobînda de achitat</t>
  </si>
  <si>
    <t>Venituri din participare în alte organizaţii</t>
  </si>
  <si>
    <t>Alte venituri operaţionale</t>
  </si>
  <si>
    <t>Alte cheltuieli operaţionale</t>
  </si>
  <si>
    <t>Venituri altele decît cele din vînzări</t>
  </si>
  <si>
    <t>Cheltuieli altele decît cele din vînzări</t>
  </si>
  <si>
    <t>Profit (pierdere) pînă la impozitare</t>
  </si>
  <si>
    <t>Creanţe amînate privind impozite</t>
  </si>
  <si>
    <t xml:space="preserve">Datorii amînate privind impozite </t>
  </si>
  <si>
    <t>Cheltuieli (economii) privind impozitul pe venit</t>
  </si>
  <si>
    <t>Profit net (pierdere) a perioadei de gestiune</t>
  </si>
  <si>
    <t>PROGNOZA SCHIMBĂRILOR ÎN ACTIVITATE ( FĂRĂ INCLUDEREA PROIECTELOR)</t>
  </si>
  <si>
    <t>Creşterea vînzărilor în % comparativ cu perioada precedentă (fără inflaţie)</t>
  </si>
  <si>
    <t>Rata de creştere a preţurilor ca rezultat al inflaţiei</t>
  </si>
  <si>
    <t>Cota produselor comercializate pe piaţa internă</t>
  </si>
  <si>
    <t xml:space="preserve">    on other activities</t>
  </si>
  <si>
    <t>Exchange rates for foreign currency</t>
  </si>
  <si>
    <t>Supposed yearly external inflation rate</t>
  </si>
  <si>
    <t>Целевое финансирование</t>
  </si>
  <si>
    <t>Grants and similar investments</t>
  </si>
  <si>
    <t>СОБСТВЕННЫЙ КАПИТАЛ</t>
  </si>
  <si>
    <t>СВОДНЫЙ ОТЧЕТ ОБ ИНВЕСТИЦИЯХ В ПРОЕКТ</t>
  </si>
  <si>
    <t>SUMMARY OF INVESTMENTS</t>
  </si>
  <si>
    <t>Потребность в инвестициях:</t>
  </si>
  <si>
    <t>Источники финансирования:</t>
  </si>
  <si>
    <t>Оборудование, полученное по лизингу</t>
  </si>
  <si>
    <t>Платежи за использованный капитал:</t>
  </si>
  <si>
    <t>Выплаченная сдельная зарплата</t>
  </si>
  <si>
    <t>Direct Labor Costs</t>
  </si>
  <si>
    <t>Амортизация</t>
  </si>
  <si>
    <t xml:space="preserve">    Cдельная оплата труда</t>
  </si>
  <si>
    <t xml:space="preserve">    Direct labor costs</t>
  </si>
  <si>
    <t xml:space="preserve">      оплата труда</t>
  </si>
  <si>
    <t xml:space="preserve">      Salary &amp; Wages</t>
  </si>
  <si>
    <t>of the main currency</t>
  </si>
  <si>
    <t>of the foreign currency</t>
  </si>
  <si>
    <t>Inflation index for the foreign currency</t>
  </si>
  <si>
    <t>The Central bank of Russia rate of re-financing</t>
  </si>
  <si>
    <t>Tax-free rate of interest:</t>
  </si>
  <si>
    <t>main currency</t>
  </si>
  <si>
    <t>foreign currency</t>
  </si>
  <si>
    <t>Constant prices</t>
  </si>
  <si>
    <t>Current prices</t>
  </si>
  <si>
    <t>Obţinerea creditelor</t>
  </si>
  <si>
    <t>Fluxul monetar net</t>
  </si>
  <si>
    <t>Flux monetar net actualizat</t>
  </si>
  <si>
    <t>Flux monetar actualizat cumulat</t>
  </si>
  <si>
    <t>Perioada simplă de recuperare</t>
  </si>
  <si>
    <t xml:space="preserve">    semnul soldului mijloacelor băneşti</t>
  </si>
  <si>
    <t>Valoarea netă actualizată (NPV)</t>
  </si>
  <si>
    <t>Perioada de recuperabilitate actualizată (PBP)</t>
  </si>
  <si>
    <t xml:space="preserve">    semnul soldului mijloacelor băneşti actualizate</t>
  </si>
  <si>
    <t>Rata internă de rentabilitate (IRR)</t>
  </si>
  <si>
    <t>Norma de profitabilitate a cheltuielilor investiţionale totale</t>
  </si>
  <si>
    <t xml:space="preserve">     investiţiei</t>
  </si>
  <si>
    <t xml:space="preserve">     valoarea actualizată a investiţiei</t>
  </si>
  <si>
    <t>RIR modificat (MIRR)</t>
  </si>
  <si>
    <t>Costul mediu ponderat al capitalului</t>
  </si>
  <si>
    <t>Rata de actualizare a cheltuielilor investiţionale</t>
  </si>
  <si>
    <t>Grafic: Recuperabilitatea proiectului</t>
  </si>
  <si>
    <t>cheltuielilor investiţionale totale</t>
  </si>
  <si>
    <t>contribuţiei proprii</t>
  </si>
  <si>
    <t>a băncii</t>
  </si>
  <si>
    <t>A se lua în consideraţie?</t>
  </si>
  <si>
    <t>da</t>
  </si>
  <si>
    <t>nu</t>
  </si>
  <si>
    <t>anii</t>
  </si>
  <si>
    <t>anul</t>
  </si>
  <si>
    <t>EVALUAREA AFACERII</t>
  </si>
  <si>
    <t>Valuta de calcul:</t>
  </si>
  <si>
    <t>Calculele s-au efectuat pentru WACC</t>
  </si>
  <si>
    <t xml:space="preserve">     coeficientul de actualizare</t>
  </si>
  <si>
    <t>Componentele de evaluare a afacerii (actualizate)</t>
  </si>
  <si>
    <t>Valoarea netă actualizată a fluxului de numerar a proiectului (NPV)</t>
  </si>
  <si>
    <t>Dividende actualizate</t>
  </si>
  <si>
    <t>Valoarea activelor nete, fără mijloace băneşti</t>
  </si>
  <si>
    <t>Profit operaţional după impozitare (NOPLAT)</t>
  </si>
  <si>
    <t>Variante de estimare a valorii afacerii</t>
  </si>
  <si>
    <t>Estimarea conform VNA cu luarea în calcul a valorii activelor nete</t>
  </si>
  <si>
    <t>Estimarea conform VNA cu luarea în calcul a costului actualizat</t>
  </si>
  <si>
    <t xml:space="preserve">    calculată pe baza Dividendelor actualizate</t>
  </si>
  <si>
    <t xml:space="preserve">    calculat pe baza NOPLAT</t>
  </si>
  <si>
    <t xml:space="preserve"> -  Административные расходы</t>
  </si>
  <si>
    <t xml:space="preserve">    административные расходы</t>
  </si>
  <si>
    <t>Затраты на оплату труда (включая ЕСН и страхов.)</t>
  </si>
  <si>
    <t>Salary and Wages (incl. CST and insurance)</t>
  </si>
  <si>
    <t xml:space="preserve"> = Итого: оплата текущих расходов</t>
  </si>
  <si>
    <t>RIR  (IRR)</t>
  </si>
  <si>
    <t xml:space="preserve">Perioada de recuperabilitate actualizată </t>
  </si>
  <si>
    <t>Mijloace proprii şi finanţarea cu destinaţie specială</t>
  </si>
  <si>
    <t>Atragerea creditelor</t>
  </si>
  <si>
    <t>Stingerea datoriilor</t>
  </si>
  <si>
    <t>Achitarea dobînzii la credite</t>
  </si>
  <si>
    <t>Cote ale intrărilor de impozite în bugete de diferite nivele</t>
  </si>
  <si>
    <t>Taxa pe valoare adăugată</t>
  </si>
  <si>
    <t>Impozit pe venit</t>
  </si>
  <si>
    <t>Calcule aferente salariilor</t>
  </si>
  <si>
    <t>Taxa la import</t>
  </si>
  <si>
    <t>Impozit funciar</t>
  </si>
  <si>
    <t>Intrări de impozite în bugetul de stat</t>
  </si>
  <si>
    <t>Intrări de impozite în bugetul de local</t>
  </si>
  <si>
    <t>Include residual value of the net assets</t>
  </si>
  <si>
    <t>Summ</t>
  </si>
  <si>
    <t>Доходы бюджетов</t>
  </si>
  <si>
    <t>Суммарные денежные потоки федерального бюджета</t>
  </si>
  <si>
    <t>Суммарные денежные потоки территориального бюджета</t>
  </si>
  <si>
    <t>Ставка дисконтирования</t>
  </si>
  <si>
    <t>Чистый приведенный доход:</t>
  </si>
  <si>
    <t xml:space="preserve">    федерального бюджета</t>
  </si>
  <si>
    <t xml:space="preserve">    территориального бюджета</t>
  </si>
  <si>
    <t xml:space="preserve">    дисконтированные потоки федерального бюджета</t>
  </si>
  <si>
    <t xml:space="preserve">    дисконтированные потоки территориального бюджета</t>
  </si>
  <si>
    <t>Excise duty and export tax</t>
  </si>
  <si>
    <t>Import tax</t>
  </si>
  <si>
    <t>1. VALUE ADDED TAX</t>
  </si>
  <si>
    <t>TAXES AND SIMILAR PAYMENTS</t>
  </si>
  <si>
    <t>Payment period (days)</t>
  </si>
  <si>
    <t xml:space="preserve">    tax rate</t>
  </si>
  <si>
    <t xml:space="preserve">    payment period</t>
  </si>
  <si>
    <t xml:space="preserve">    overpaid VAT indemnification method</t>
  </si>
  <si>
    <t xml:space="preserve">    write off VAT on fixed assets</t>
  </si>
  <si>
    <t>VAT received</t>
  </si>
  <si>
    <t>Добавочный капитал</t>
  </si>
  <si>
    <t>Резервный капитал</t>
  </si>
  <si>
    <t xml:space="preserve">      резервы, образованные в соответствии с законодательством</t>
  </si>
  <si>
    <t xml:space="preserve">      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</si>
  <si>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</si>
  <si>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 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</si>
  <si>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</si>
  <si>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</si>
  <si>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</si>
  <si>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Other Payments</t>
  </si>
  <si>
    <t>Cash Flow from Operations</t>
  </si>
  <si>
    <t>Construction Expenses Paid</t>
  </si>
  <si>
    <t>Зарплата основного производственного персонала</t>
  </si>
  <si>
    <t>Зарплата вспомогательного произв. персонала</t>
  </si>
  <si>
    <t>Зарплата административного персонала</t>
  </si>
  <si>
    <t>Зарплата коммерческого персонала</t>
  </si>
  <si>
    <t xml:space="preserve">    - на зарплату основного произв. персонала</t>
  </si>
  <si>
    <t>Necesarul de finanţare a activelor pe termen lung (cu TVA)</t>
  </si>
  <si>
    <t xml:space="preserve"> = Cheltuieli investiţionale</t>
  </si>
  <si>
    <t>Creşterea capitalului statutar</t>
  </si>
  <si>
    <t xml:space="preserve"> = Capital statutar</t>
  </si>
  <si>
    <t>Majorarea datoriei</t>
  </si>
  <si>
    <t>Stingerea datoriei</t>
  </si>
  <si>
    <t>Datorii aferente creditelor</t>
  </si>
  <si>
    <t>Dobînda aferentă creditelor</t>
  </si>
  <si>
    <t>Credite pe termen lung</t>
  </si>
  <si>
    <t>Creşterea datoriei</t>
  </si>
  <si>
    <t>Datorii aferete creditelor</t>
  </si>
  <si>
    <t xml:space="preserve"> = Surse de finanţare</t>
  </si>
  <si>
    <t>Mijloace băneşti disponibile din afara proiectului</t>
  </si>
  <si>
    <t>Mijloace băneşti disponibile (întreprinderea + proiectul)</t>
  </si>
  <si>
    <t>Cota</t>
  </si>
  <si>
    <t>pe perioada</t>
  </si>
  <si>
    <t>Rata maximală a creditării</t>
  </si>
  <si>
    <t>Valoarea totală a investiţiilor anterioare</t>
  </si>
  <si>
    <t xml:space="preserve">     a corecta cu valoarea aceasta capitalul din bilanţ?</t>
  </si>
  <si>
    <t xml:space="preserve">    a ţine cont în total la evaluarea eficienţei:</t>
  </si>
  <si>
    <t>Investiţii anterioare</t>
  </si>
  <si>
    <t xml:space="preserve">    flux monetar neactualizat cumulativ</t>
  </si>
  <si>
    <t xml:space="preserve"> = Total: achitarea cheltuielilor curente</t>
  </si>
  <si>
    <t xml:space="preserve"> = Total: cheltuieli în raportul despre venituri şi cheltuieli</t>
  </si>
  <si>
    <t>Materiale şi componente-subansamble casate la cheltuieli</t>
  </si>
  <si>
    <t xml:space="preserve">     cheltuieli administrative</t>
  </si>
  <si>
    <t>A lua în consideraţie valoarea mijloacelor fixe existente</t>
  </si>
  <si>
    <t>A lua în consideraţie valoarea reziduală a proiectului</t>
  </si>
  <si>
    <t>Valoarea reziduală a proiectului</t>
  </si>
  <si>
    <t xml:space="preserve">     dobînda calculată</t>
  </si>
  <si>
    <t xml:space="preserve">     datorii privind dobînda</t>
  </si>
  <si>
    <t xml:space="preserve">    profit before tax</t>
  </si>
  <si>
    <t xml:space="preserve">    tax allowance</t>
  </si>
  <si>
    <t>Total tax payments</t>
  </si>
  <si>
    <t>days</t>
  </si>
  <si>
    <t>paid from budget</t>
  </si>
  <si>
    <t>indemnified in future payments</t>
  </si>
  <si>
    <t>immediately after start of operations</t>
  </si>
  <si>
    <t>only after repayment of investment loans</t>
  </si>
  <si>
    <t>sq. m. 000</t>
  </si>
  <si>
    <t>per year (!)</t>
  </si>
  <si>
    <t>INCOME STATEMENT</t>
  </si>
  <si>
    <t xml:space="preserve"> -  Interest</t>
  </si>
  <si>
    <t>SUPPLEMENT TO INCOME STATEMENT</t>
  </si>
  <si>
    <t>1. PROFIT / LOSS FROM OTHER SALES</t>
  </si>
  <si>
    <t>int_sum</t>
  </si>
  <si>
    <t>[Проект];int_sum</t>
  </si>
  <si>
    <t>[Проект];int_end</t>
  </si>
  <si>
    <t>вычитается</t>
  </si>
  <si>
    <t>Fixed assets sale profit / loss</t>
  </si>
  <si>
    <t>Other profits / losses, including VAT</t>
  </si>
  <si>
    <t xml:space="preserve">    the same, net of VAT</t>
  </si>
  <si>
    <t>2. PROFIT / LOSS FROM NON-TRADE OPERATIONS</t>
  </si>
  <si>
    <t xml:space="preserve">    yearly rate</t>
  </si>
  <si>
    <t>Interest from deposit account</t>
  </si>
  <si>
    <t>Dividends on preferred shares</t>
  </si>
  <si>
    <t xml:space="preserve">     taxa adăugătoare la import</t>
  </si>
  <si>
    <t xml:space="preserve">     suma totală de investiţii în activ (fără TVA)</t>
  </si>
  <si>
    <t xml:space="preserve">     valoarea totală de bilanţ</t>
  </si>
  <si>
    <t xml:space="preserve">     investiţii în curs de execuţie</t>
  </si>
  <si>
    <t xml:space="preserve">     datorii creditoare</t>
  </si>
  <si>
    <t xml:space="preserve">     uzura (metoda liniară)</t>
  </si>
  <si>
    <t xml:space="preserve">     uzura (accelerată),    pe durata de exploatare:</t>
  </si>
  <si>
    <t xml:space="preserve">     uzura acumulată</t>
  </si>
  <si>
    <t xml:space="preserve">     valoarea reziduală</t>
  </si>
  <si>
    <t>Interest Payable</t>
  </si>
  <si>
    <t>Income on Investments</t>
  </si>
  <si>
    <t>Other Operation Incomes</t>
  </si>
  <si>
    <t>Accrued salary tax and insurance</t>
  </si>
  <si>
    <t xml:space="preserve">    - on general production staff</t>
  </si>
  <si>
    <t xml:space="preserve">    - on auxiliary production staff</t>
  </si>
  <si>
    <t xml:space="preserve">    - on managerial and administrative staff</t>
  </si>
  <si>
    <t xml:space="preserve">    - on sales and marketing staff</t>
  </si>
  <si>
    <t>Salary expenses including tax and insurance</t>
  </si>
  <si>
    <t>Other Operation Expenses</t>
  </si>
  <si>
    <t>Other Non-Operation Incomes</t>
  </si>
  <si>
    <t>Other Non-Operation Expenses</t>
  </si>
  <si>
    <t>Deferred Tax Assets</t>
  </si>
  <si>
    <t xml:space="preserve">Profit Tax </t>
  </si>
  <si>
    <t>Interest rate (yearly)</t>
  </si>
  <si>
    <t>Delay of payment of interests</t>
  </si>
  <si>
    <t>Increase of principal</t>
  </si>
  <si>
    <t>Disbursement of principal</t>
  </si>
  <si>
    <t>Interest paid</t>
  </si>
  <si>
    <t xml:space="preserve">    local government</t>
  </si>
  <si>
    <t>federal</t>
  </si>
  <si>
    <t>local</t>
  </si>
  <si>
    <t xml:space="preserve">    discounted cash flow for federal government</t>
  </si>
  <si>
    <t>Проценты по кредитам на инвестиционной фазе</t>
  </si>
  <si>
    <t xml:space="preserve">    номер периода окончания инвестиционной фазы</t>
  </si>
  <si>
    <t xml:space="preserve">    незавершенные капитальные вложения</t>
  </si>
  <si>
    <t>Interest paid during investment stage</t>
  </si>
  <si>
    <t xml:space="preserve">    # of period when investment stage ends</t>
  </si>
  <si>
    <t xml:space="preserve">    net value</t>
  </si>
  <si>
    <t xml:space="preserve">    discounted cash flow for local government</t>
  </si>
  <si>
    <t xml:space="preserve">    preferred stock issued</t>
  </si>
  <si>
    <t>Info: Cash at the end of period</t>
  </si>
  <si>
    <t>Net operational profit after tax (NOPLAT)</t>
  </si>
  <si>
    <t>Versions of business value</t>
  </si>
  <si>
    <t>Valuation by NPV + Net Assets</t>
  </si>
  <si>
    <t>Valuation by NPV + Continued Value</t>
  </si>
  <si>
    <t xml:space="preserve">    calculated by DD</t>
  </si>
  <si>
    <t xml:space="preserve">    calculated by NOPLAT</t>
  </si>
  <si>
    <t>Valuation by DD + Continued Value</t>
  </si>
  <si>
    <t>Average Business Value</t>
  </si>
  <si>
    <t>value</t>
  </si>
  <si>
    <t>weight</t>
  </si>
  <si>
    <t xml:space="preserve">    накопленная прибыль/убытки текущего года</t>
  </si>
  <si>
    <t xml:space="preserve">    убытки предыдущих лет (на начало периода)</t>
  </si>
  <si>
    <t xml:space="preserve">    списано убытков предыдущих лет</t>
  </si>
  <si>
    <t xml:space="preserve">    прибыль, на которую начисляется налог</t>
  </si>
  <si>
    <t xml:space="preserve">    accumulated profit (loss) of current year</t>
  </si>
  <si>
    <t xml:space="preserve">    losses of the previous years</t>
  </si>
  <si>
    <t xml:space="preserve">    written off losses of the previous years</t>
  </si>
  <si>
    <t xml:space="preserve">    taxable profit</t>
  </si>
  <si>
    <t xml:space="preserve">    marketing expenses</t>
  </si>
  <si>
    <t xml:space="preserve">    administrative expenses</t>
  </si>
  <si>
    <t>EFFICIENCY FOR THE GOVERNMENT</t>
  </si>
  <si>
    <t>BASIC PROJECT PARAMETERS</t>
  </si>
  <si>
    <t>Sales (net of VAT)</t>
  </si>
  <si>
    <t>Net Profit</t>
  </si>
  <si>
    <t>Dividends</t>
  </si>
  <si>
    <t>Construction end Purchase of Equipment</t>
  </si>
  <si>
    <t>Discount Rate</t>
  </si>
  <si>
    <t>Shareholders' Capital Investments</t>
  </si>
  <si>
    <t>Налог на добавленную стоимость</t>
  </si>
  <si>
    <t>Импортная пошлина</t>
  </si>
  <si>
    <t>Подоходный налог</t>
  </si>
  <si>
    <t xml:space="preserve">Начисления на заработную плату </t>
  </si>
  <si>
    <t>Налог на прибыль</t>
  </si>
  <si>
    <t>федеральный</t>
  </si>
  <si>
    <t>территории</t>
  </si>
  <si>
    <t>Налоговые поступления в федеральный бюджет</t>
  </si>
  <si>
    <t>Налоговые поступления в территориальный бюджет</t>
  </si>
  <si>
    <t>Бюджетное финансирование</t>
  </si>
  <si>
    <t>Федеральный бюджет</t>
  </si>
  <si>
    <t xml:space="preserve">    целевое финансирование</t>
  </si>
  <si>
    <t xml:space="preserve">    кредиты выданные</t>
  </si>
  <si>
    <t xml:space="preserve">    возврат кредитов</t>
  </si>
  <si>
    <t xml:space="preserve">    проценты по выданным кредитам</t>
  </si>
  <si>
    <t>Территориальный бюджет</t>
  </si>
  <si>
    <t>Valoarea totală a activelor pe termen lung</t>
  </si>
  <si>
    <t>Valoarea reziduală a activelor pe termen lung</t>
  </si>
  <si>
    <t>Amortizarea</t>
  </si>
  <si>
    <t>Vînzarea mijloacelor fixe (toate fără TVA):</t>
  </si>
  <si>
    <t xml:space="preserve">     valoarea reziduală a activelor vîndute</t>
  </si>
  <si>
    <t xml:space="preserve">     cheltuieli privind vînzare activelor</t>
  </si>
  <si>
    <t xml:space="preserve">     profit (+)/ pierdere (-) din vînzarea activelor</t>
  </si>
  <si>
    <t>(inflation ignored)</t>
  </si>
  <si>
    <t>(inflation used in calculations)</t>
  </si>
  <si>
    <t>Calculation method</t>
  </si>
  <si>
    <t>Current</t>
  </si>
  <si>
    <t>Investment</t>
  </si>
  <si>
    <t>Investment (federal budget)</t>
  </si>
  <si>
    <t>Investment (regional budget)</t>
  </si>
  <si>
    <t xml:space="preserve">    from customers</t>
  </si>
  <si>
    <t xml:space="preserve">    on fixed assets sold</t>
  </si>
  <si>
    <t>VAT paid</t>
  </si>
  <si>
    <t xml:space="preserve">    with raw materials and components</t>
  </si>
  <si>
    <t xml:space="preserve">    with current expenses</t>
  </si>
  <si>
    <t xml:space="preserve"> (с поправкой на инфляцию)</t>
  </si>
  <si>
    <t xml:space="preserve">    with leasing payments</t>
  </si>
  <si>
    <t xml:space="preserve">    with fixed assets</t>
  </si>
  <si>
    <t>VAT paid into budget (or indemnified from budget)</t>
  </si>
  <si>
    <t xml:space="preserve">    written off VAT on fixed assets</t>
  </si>
  <si>
    <t xml:space="preserve">    VAT paid but not written off</t>
  </si>
  <si>
    <t xml:space="preserve">    VAT to pay (or to indemnify)</t>
  </si>
  <si>
    <t xml:space="preserve">    deferred VAT to indemnify</t>
  </si>
  <si>
    <t>2. TAXES INCLUDED IN COST OF GOODS SOLD</t>
  </si>
  <si>
    <t>Social payments</t>
  </si>
  <si>
    <t xml:space="preserve">    Common social tax</t>
  </si>
  <si>
    <t xml:space="preserve">     TOTAL capitolul I</t>
  </si>
  <si>
    <t>II. ACTIVE PE TERMEN SCURT</t>
  </si>
  <si>
    <t>Stocuri de mărfuri şi materiale</t>
  </si>
  <si>
    <t>inclusiv:</t>
  </si>
  <si>
    <t xml:space="preserve">     materie primă, materiale şi altele</t>
  </si>
  <si>
    <t xml:space="preserve">     animale la creştere şi îngrăşat</t>
  </si>
  <si>
    <t xml:space="preserve">     producţia în curs de execuţie</t>
  </si>
  <si>
    <t xml:space="preserve">     produse finite şi mărfuri</t>
  </si>
  <si>
    <t xml:space="preserve">     mărfuri expediate</t>
  </si>
  <si>
    <t xml:space="preserve">     cheltuieli pentru perioadele următoere</t>
  </si>
  <si>
    <t xml:space="preserve">     alte stocuri şi cheltuieli</t>
  </si>
  <si>
    <t>TVA aferent achiziţilor</t>
  </si>
  <si>
    <t>Creanţe ( pe o perioadă mai mare de 12 luni)</t>
  </si>
  <si>
    <t xml:space="preserve">     inclusiv cumpărători şi clienţi</t>
  </si>
  <si>
    <t>Creanţe ( pe o perioadă de pînă la 12 luni)</t>
  </si>
  <si>
    <t>Investiţii în active financiare pe termen scurt</t>
  </si>
  <si>
    <t>Alte active pe termen scurt</t>
  </si>
  <si>
    <t xml:space="preserve">     TOTAL capitolul II</t>
  </si>
  <si>
    <t>PASIV</t>
  </si>
  <si>
    <t>III. CAPITAL PROPRIU</t>
  </si>
  <si>
    <t>Capital statutar</t>
  </si>
  <si>
    <t>Acţiuni proprii răscumpărate de la acţionari</t>
  </si>
  <si>
    <t>Capital suplimentar</t>
  </si>
  <si>
    <t>Rezerve</t>
  </si>
  <si>
    <t xml:space="preserve">     Rezerve stabilite de legislaţie</t>
  </si>
  <si>
    <t xml:space="preserve">     Rezerve prevăzute de statut</t>
  </si>
  <si>
    <t>Profit nerepartizat (pierderi)</t>
  </si>
  <si>
    <t xml:space="preserve">     TOTAL capitolul III</t>
  </si>
  <si>
    <t>IV. DATORII PE TERMEN LUNG</t>
  </si>
  <si>
    <t>Datorii financiare pe termen lung</t>
  </si>
  <si>
    <t>Datorii amânate privind impozite</t>
  </si>
  <si>
    <t>Alte datorii pe termen lung</t>
  </si>
  <si>
    <t xml:space="preserve">     TOTAL capitolul IV</t>
  </si>
  <si>
    <t>V. DATORII PE TERMEN SCURT</t>
  </si>
  <si>
    <t>Datorii financiare pe termen scurt</t>
  </si>
  <si>
    <t>Datorii comerciale pe termen scurt</t>
  </si>
  <si>
    <t xml:space="preserve">      furnizori</t>
  </si>
  <si>
    <t xml:space="preserve">      datorii faţă de personal</t>
  </si>
  <si>
    <t xml:space="preserve">      datorii privind plăţile extrabugetare</t>
  </si>
  <si>
    <t>Доля бюджета в целевом финансировании</t>
  </si>
  <si>
    <t>Government share in grants</t>
  </si>
  <si>
    <t>Actual leasing payments (including VAT)</t>
  </si>
  <si>
    <t xml:space="preserve">    advances paid</t>
  </si>
  <si>
    <t xml:space="preserve">    taxable property</t>
  </si>
  <si>
    <t xml:space="preserve">    rented fixed assets (net value)</t>
  </si>
  <si>
    <t>The repayment of fixed asset (net book value)</t>
  </si>
  <si>
    <t xml:space="preserve">    book value after repayment</t>
  </si>
  <si>
    <t xml:space="preserve">    net book value after repayment</t>
  </si>
  <si>
    <t xml:space="preserve">    depreciation charges after repayment</t>
  </si>
  <si>
    <t xml:space="preserve">    VAT paid at the repayment</t>
  </si>
  <si>
    <t xml:space="preserve"> = Total leasing payments, accrued, net of VAT</t>
  </si>
  <si>
    <t xml:space="preserve"> = Total leasing payments, paid, including VAT</t>
  </si>
  <si>
    <t>Выpучка (нетто) от продажи товаров, пpодукции, работ, услуг (за минусом НДС, акцизов и аналогичных обязательных платежей)</t>
  </si>
  <si>
    <t>Доля</t>
  </si>
  <si>
    <t xml:space="preserve">    VAT paid with leasing payments and repayments</t>
  </si>
  <si>
    <t xml:space="preserve"> = Total repayments of fixed asset, including VAT</t>
  </si>
  <si>
    <t>financial, asset is on lessor's balance</t>
  </si>
  <si>
    <t>financial, asset is on lessee's balance</t>
  </si>
  <si>
    <t>operational, asset is on lessor's balance</t>
  </si>
  <si>
    <t>operational, asset is on lessee's balance</t>
  </si>
  <si>
    <t>INVENTORIES</t>
  </si>
  <si>
    <t>Stocks of raw materials and components</t>
  </si>
  <si>
    <t xml:space="preserve">    purchase term</t>
  </si>
  <si>
    <t xml:space="preserve">    minimum stock, for</t>
  </si>
  <si>
    <t>Unfinished goods</t>
  </si>
  <si>
    <t xml:space="preserve">    production cycle</t>
  </si>
  <si>
    <t>Finished goods</t>
  </si>
  <si>
    <t xml:space="preserve">    периодичность отгрузки</t>
  </si>
  <si>
    <t xml:space="preserve">    delivery term</t>
  </si>
  <si>
    <t xml:space="preserve">    average days in stock</t>
  </si>
  <si>
    <t>PAYMENTS FROM CUSTOMERS</t>
  </si>
  <si>
    <t xml:space="preserve">    cash sales</t>
  </si>
  <si>
    <t xml:space="preserve">    advance sales</t>
  </si>
  <si>
    <t xml:space="preserve">    credit sales</t>
  </si>
  <si>
    <t>Revenues from sales:</t>
  </si>
  <si>
    <t>Accounts receivable</t>
  </si>
  <si>
    <t>Сумм</t>
  </si>
  <si>
    <t>Курс валюты</t>
  </si>
  <si>
    <t>Outstanding debt for the end of the current period</t>
  </si>
  <si>
    <t xml:space="preserve">    interval when loan was received</t>
  </si>
  <si>
    <t xml:space="preserve">    interest paid from profit</t>
  </si>
  <si>
    <t xml:space="preserve"> = Total: Outstanding debt</t>
  </si>
  <si>
    <t xml:space="preserve"> = Total: Proceeds from loans</t>
  </si>
  <si>
    <t xml:space="preserve"> = Total: Repayments of loans</t>
  </si>
  <si>
    <t xml:space="preserve"> = Total: Interest paid</t>
  </si>
  <si>
    <t xml:space="preserve">    outstanding current loans</t>
  </si>
  <si>
    <t xml:space="preserve">    outstanding investment loans</t>
  </si>
  <si>
    <t>СУММ?</t>
  </si>
  <si>
    <t>ПРИМ?</t>
  </si>
  <si>
    <t>Файл подготовки данных</t>
  </si>
  <si>
    <t>Программа установлена нормально</t>
  </si>
  <si>
    <t>Серийный номер</t>
  </si>
  <si>
    <t>Зарегистрировано на</t>
  </si>
  <si>
    <t>Контрольный код</t>
  </si>
  <si>
    <t>Дата последней модификации</t>
  </si>
  <si>
    <t>Доли налоговых поступлений в бюджеты разных уровней</t>
  </si>
  <si>
    <t>Încasări din activitatea curentă de producere</t>
  </si>
  <si>
    <t>TVA din vînzări</t>
  </si>
  <si>
    <t>Creşterea cheltuielilor în % comparativ cu perioada precedentă (fără inflaţie)</t>
  </si>
  <si>
    <t>Accounts Payable</t>
  </si>
  <si>
    <t>Taxes Payable</t>
  </si>
  <si>
    <t>Salary Payable</t>
  </si>
  <si>
    <t>Advances Received</t>
  </si>
  <si>
    <t>Short-Term Loans</t>
  </si>
  <si>
    <t>Total Short-Term Liabilities</t>
  </si>
  <si>
    <t>Long-Term Liabilities</t>
  </si>
  <si>
    <t>Shares Issued</t>
  </si>
  <si>
    <t>НАЧАЛЬНЫЙ БАЛАНС</t>
  </si>
  <si>
    <t xml:space="preserve">    фактические запасы готовой продукции</t>
  </si>
  <si>
    <t xml:space="preserve">    график закупок материалов и комплектующих</t>
  </si>
  <si>
    <t xml:space="preserve">    минимальный запас готовой продукции</t>
  </si>
  <si>
    <t>СДЕЛЬНАЯ ЗАРПЛАТА (на ед. продукта)</t>
  </si>
  <si>
    <t xml:space="preserve">    суммарные выплаты за материалы (без НДС)</t>
  </si>
  <si>
    <t>Поступления от продаж</t>
  </si>
  <si>
    <t>Затраты на материалы и комплектующие</t>
  </si>
  <si>
    <t>НДС полученный</t>
  </si>
  <si>
    <t>НДС уплаченный</t>
  </si>
  <si>
    <t>Изменения суммарных результатов для компании:</t>
  </si>
  <si>
    <t>SENS_Prices</t>
  </si>
  <si>
    <t>SENS_Volume</t>
  </si>
  <si>
    <t>SENS_Materials</t>
  </si>
  <si>
    <t>SENS_GenExp</t>
  </si>
  <si>
    <t>SENS_Assets</t>
  </si>
  <si>
    <t>SENS_Discount</t>
  </si>
  <si>
    <t>Деньги</t>
  </si>
  <si>
    <t>Авансы уплаченные</t>
  </si>
  <si>
    <t>Готовая продукция</t>
  </si>
  <si>
    <t>Незавершенное производство</t>
  </si>
  <si>
    <t>Материалы и комплектующие</t>
  </si>
  <si>
    <t>Дебиторская задолженность</t>
  </si>
  <si>
    <t>Авансы покупателей</t>
  </si>
  <si>
    <t>Кредиторская задолженность</t>
  </si>
  <si>
    <t>Нераспределенная прибыль</t>
  </si>
  <si>
    <t>Земельный и другие налоги, относимые на текущие затраты</t>
  </si>
  <si>
    <t>Land tax and other taxes</t>
  </si>
  <si>
    <t xml:space="preserve">    суммарные поступления (без НДС)</t>
  </si>
  <si>
    <t xml:space="preserve">    в т.ч. акцизов, налогов и пошлин</t>
  </si>
  <si>
    <t xml:space="preserve">    поступления денег от продаж:</t>
  </si>
  <si>
    <t xml:space="preserve">    авансы в обороте в течение периода</t>
  </si>
  <si>
    <t xml:space="preserve">    кредиторская задолж.  в обороте в течение периода</t>
  </si>
  <si>
    <t>Описание компании</t>
  </si>
  <si>
    <t xml:space="preserve"> -  Коммерческие расходы</t>
  </si>
  <si>
    <t xml:space="preserve"> -  Себестоимость проданных товаров</t>
  </si>
  <si>
    <t xml:space="preserve"> + Курсовая разница и доходы от конвертации</t>
  </si>
  <si>
    <t xml:space="preserve"> + Прочие внереализационные доходы (расходы)</t>
  </si>
  <si>
    <t xml:space="preserve"> -  Налог на прибыль</t>
  </si>
  <si>
    <t>ПРИЛОЖЕНИЕ К ОТЧЕТУ О ПРИБЫЛЯХ И УБЫТКАХ</t>
  </si>
  <si>
    <t>Налоги</t>
  </si>
  <si>
    <t>Денежные потоки от операционной деятельности</t>
  </si>
  <si>
    <t>Оплата расходов будущих периодов</t>
  </si>
  <si>
    <t>Инвестиции в оборотный капитал</t>
  </si>
  <si>
    <t>Поступления акционерного капитала</t>
  </si>
  <si>
    <t>Поступления кредитов</t>
  </si>
  <si>
    <t>Возврат кредитов</t>
  </si>
  <si>
    <t>Выплата процентов по кредитам</t>
  </si>
  <si>
    <t>Выручка от реализации активов</t>
  </si>
  <si>
    <t>Денежные потоки от инвестиционной деятельности</t>
  </si>
  <si>
    <t>Лизинговые платежи</t>
  </si>
  <si>
    <t>Выплата дивидендов</t>
  </si>
  <si>
    <t>Суммарный денежный поток за период</t>
  </si>
  <si>
    <t>Денежные средства на конец периода</t>
  </si>
  <si>
    <t>Прочие затраты</t>
  </si>
  <si>
    <t>Company Description</t>
  </si>
  <si>
    <t>PROJECTS</t>
  </si>
  <si>
    <t>Project Name</t>
  </si>
  <si>
    <t>Sheet</t>
  </si>
  <si>
    <t>START-UP BALANCE SHEET</t>
  </si>
  <si>
    <t>ASSETS</t>
  </si>
  <si>
    <t>#</t>
  </si>
  <si>
    <t>I. FIXED ASSETS</t>
  </si>
  <si>
    <t>Long-Term Financial Investments</t>
  </si>
  <si>
    <t>Intangible Assets</t>
  </si>
  <si>
    <t>Investments in Tangible Assets</t>
  </si>
  <si>
    <t xml:space="preserve">Other </t>
  </si>
  <si>
    <t>II. CURRENT ASSETS</t>
  </si>
  <si>
    <t>Inventory</t>
  </si>
  <si>
    <t>Deferred Taxes</t>
  </si>
  <si>
    <t>including:</t>
  </si>
  <si>
    <t xml:space="preserve">      расходы будущих периодов</t>
  </si>
  <si>
    <t xml:space="preserve">      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</si>
  <si>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</si>
  <si>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</si>
  <si>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      в том числе покупатели и заказчики</t>
  </si>
  <si>
    <t>Краткосрочные финансовые вложения</t>
  </si>
  <si>
    <t>Денежные средства</t>
  </si>
  <si>
    <t xml:space="preserve">      ИТОГО по разделу II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</si>
  <si>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</si>
  <si>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</si>
  <si>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</si>
  <si>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</si>
  <si>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 xml:space="preserve">        accounts payable </t>
  </si>
  <si>
    <t xml:space="preserve">        salaries payable</t>
  </si>
  <si>
    <t xml:space="preserve">        social insurance &amp; social security
        payments </t>
  </si>
  <si>
    <t xml:space="preserve">        tax payable</t>
  </si>
  <si>
    <t xml:space="preserve">        other creditors</t>
  </si>
  <si>
    <t>TOTAL LIABILITIES AND EQUITY</t>
  </si>
  <si>
    <t>Shareholders Payments</t>
  </si>
  <si>
    <t>Deferred Income</t>
  </si>
  <si>
    <t>Future Expences and Payments Provision</t>
  </si>
  <si>
    <t>START-UP PROFIT &amp; LOSS STATEMENT</t>
  </si>
  <si>
    <t>Product (services) sales revenue ( VAT, excise taxes &amp; other compulsory payments excluded)</t>
  </si>
  <si>
    <t>Cost of products (services) sold</t>
  </si>
  <si>
    <t>Selling Expences</t>
  </si>
  <si>
    <t>Administrative &amp; Management Expences</t>
  </si>
  <si>
    <t>Profit (Loss) from Operations</t>
  </si>
  <si>
    <t>Other Earnings and Costs</t>
  </si>
  <si>
    <t xml:space="preserve">Interest Receivable </t>
  </si>
  <si>
    <t xml:space="preserve">    - на зарплату вспомогательного произв. персонала</t>
  </si>
  <si>
    <t xml:space="preserve">    - на зарплату административного персонала</t>
  </si>
  <si>
    <t xml:space="preserve">    - на зарплату коммерческого персонала</t>
  </si>
  <si>
    <t>ЕСН на зарплату основного произв. персонала</t>
  </si>
  <si>
    <t>ЕСН на зарплату вспомогательного произв. персонала</t>
  </si>
  <si>
    <t>ЕСН на зарплату административного персонала</t>
  </si>
  <si>
    <t>ЕСН на зарплату коммерческого персонала</t>
  </si>
  <si>
    <t>Purchase of Equipment and Other Property</t>
  </si>
  <si>
    <t xml:space="preserve">    total payments for raw materials (net of VAT)</t>
  </si>
  <si>
    <t xml:space="preserve">    VAT paid</t>
  </si>
  <si>
    <t xml:space="preserve">    accounts payable inside the step of calculation</t>
  </si>
  <si>
    <t xml:space="preserve">    accounts payable staying till next step</t>
  </si>
  <si>
    <t>PERSONNEL AND SALARY</t>
  </si>
  <si>
    <t>General production staff</t>
  </si>
  <si>
    <t>Auxiliary production staff</t>
  </si>
  <si>
    <t>Managerial and administrative staff</t>
  </si>
  <si>
    <t>Sales and marketing staff</t>
  </si>
  <si>
    <t>Total employed</t>
  </si>
  <si>
    <t xml:space="preserve">    quantity</t>
  </si>
  <si>
    <t xml:space="preserve">    monthly wages</t>
  </si>
  <si>
    <t>Qnt.</t>
  </si>
  <si>
    <t>Mon. wages</t>
  </si>
  <si>
    <t>persons</t>
  </si>
  <si>
    <t>CURRENT EXPENSES</t>
  </si>
  <si>
    <t>Direct production expenses</t>
  </si>
  <si>
    <t>Managerial and administrative expenses</t>
  </si>
  <si>
    <t>Sales and marketing expenses</t>
  </si>
  <si>
    <t>Sales and marketing expenses as % of sales</t>
  </si>
  <si>
    <t xml:space="preserve">    including VAT</t>
  </si>
  <si>
    <t xml:space="preserve">    Production expenses</t>
  </si>
  <si>
    <t xml:space="preserve">        net of VAT</t>
  </si>
  <si>
    <t xml:space="preserve">        VAT</t>
  </si>
  <si>
    <t xml:space="preserve">    Administrative expenses</t>
  </si>
  <si>
    <t xml:space="preserve">    Sales and marketing expenses</t>
  </si>
  <si>
    <t>FIXED ASSETS</t>
  </si>
  <si>
    <t>Buildings</t>
  </si>
  <si>
    <t>Equipment etc.</t>
  </si>
  <si>
    <t>Deferred expenses</t>
  </si>
  <si>
    <t>Темпы прироста затрат в следствии инфляции</t>
  </si>
  <si>
    <t>Доля ресурсов, закупаемых на внутреннем рынке</t>
  </si>
  <si>
    <t>Текущие затраты по действующему производству</t>
  </si>
  <si>
    <t>НДС к затратам</t>
  </si>
  <si>
    <t xml:space="preserve">    Структура затрат (в % от суммарных затрат)</t>
  </si>
  <si>
    <t>АЛЬТ-Инвест™</t>
  </si>
  <si>
    <t>ALT-Invest™</t>
  </si>
  <si>
    <t>Chart: Current assets</t>
  </si>
  <si>
    <t>FINANCIAL RATIOS</t>
  </si>
  <si>
    <t>TOTAL LIABILITIES AND SHAREHOLDERS' EQUITY</t>
  </si>
  <si>
    <t>Current Ratio</t>
  </si>
  <si>
    <t>Quick Ratio</t>
  </si>
  <si>
    <t>Cash Ratio</t>
  </si>
  <si>
    <t>Net Working Capital</t>
  </si>
  <si>
    <t>Return on Assets</t>
  </si>
  <si>
    <t>Return on Equity</t>
  </si>
  <si>
    <t>Return on Fixed Assets</t>
  </si>
  <si>
    <t>Current Expenses to Sales</t>
  </si>
  <si>
    <t>Return on Sales</t>
  </si>
  <si>
    <t>Operational Profit Margin</t>
  </si>
  <si>
    <t>Net Profit Margin</t>
  </si>
  <si>
    <t>Total Assets Turnover</t>
  </si>
  <si>
    <t>Fixed Assets Turnover</t>
  </si>
  <si>
    <t>Average Collection Period</t>
  </si>
  <si>
    <t>Shareholders' Equity Turnover</t>
  </si>
  <si>
    <t>Accounts Payable Collection Period</t>
  </si>
  <si>
    <t>Accounts Receivable</t>
  </si>
  <si>
    <t>Advances Paid</t>
  </si>
  <si>
    <t>Finished Goods</t>
  </si>
  <si>
    <t>Unfinished Goods</t>
  </si>
  <si>
    <t>VAT Paid</t>
  </si>
  <si>
    <t>Deferred Expenses</t>
  </si>
  <si>
    <t>Other Current Assets</t>
  </si>
  <si>
    <t>Total Current Assets</t>
  </si>
  <si>
    <t>Fixed Assets</t>
  </si>
  <si>
    <t>Currency of the calculation:</t>
  </si>
  <si>
    <t>Yearly discount rate:</t>
  </si>
  <si>
    <t>BUSINESS VALUATION</t>
  </si>
  <si>
    <t>Value calculated for WACC:</t>
  </si>
  <si>
    <t>Discounted Dividends (DD)</t>
  </si>
  <si>
    <t>Прямые производственные расходы</t>
  </si>
  <si>
    <t>Общие производственные расходы</t>
  </si>
  <si>
    <t>General production expenses</t>
  </si>
  <si>
    <t>Depreciation</t>
  </si>
  <si>
    <t>Общие затраты</t>
  </si>
  <si>
    <t xml:space="preserve"> (отключен для пост. цен)</t>
  </si>
  <si>
    <t xml:space="preserve"> (off for constant prices)</t>
  </si>
  <si>
    <t xml:space="preserve"> (including inflation)</t>
  </si>
  <si>
    <t>General Expenses</t>
  </si>
  <si>
    <t>int_start</t>
  </si>
  <si>
    <t>int_end</t>
  </si>
  <si>
    <t>1_02;int_end</t>
  </si>
  <si>
    <t>1_03;int_end</t>
  </si>
  <si>
    <t>1_04;int_end</t>
  </si>
  <si>
    <t>1_05;int_end</t>
  </si>
  <si>
    <t>1_08;int_end</t>
  </si>
  <si>
    <t>1_09;int_end</t>
  </si>
  <si>
    <t>1_10;int_end</t>
  </si>
  <si>
    <t>1_12;int_end</t>
  </si>
  <si>
    <t>1_13;int_end</t>
  </si>
  <si>
    <t>int_avg</t>
  </si>
  <si>
    <t>qnt;int_avg</t>
  </si>
  <si>
    <t>int_rate;int_avg</t>
  </si>
  <si>
    <t>Net Present Value of the Project (NPV)</t>
  </si>
  <si>
    <t>Net Assets less Cash</t>
  </si>
  <si>
    <t>Tax Shares of Local and Federal Governments</t>
  </si>
  <si>
    <t>Value Added Tax</t>
  </si>
  <si>
    <t>Profit Tax</t>
  </si>
  <si>
    <t>Social Payments</t>
  </si>
  <si>
    <t>Excise and Export Duties</t>
  </si>
  <si>
    <t>Import Duty</t>
  </si>
  <si>
    <t>Income Tax</t>
  </si>
  <si>
    <t>Land Tax</t>
  </si>
  <si>
    <t>Property Tax</t>
  </si>
  <si>
    <t>Taxes received by federal government</t>
  </si>
  <si>
    <t>Taxes received by local government</t>
  </si>
  <si>
    <t>Government financing</t>
  </si>
  <si>
    <t>Federal budget</t>
  </si>
  <si>
    <t xml:space="preserve">    grants</t>
  </si>
  <si>
    <t xml:space="preserve">    loans given</t>
  </si>
  <si>
    <t xml:space="preserve">    loans repayment</t>
  </si>
  <si>
    <t xml:space="preserve">    interest</t>
  </si>
  <si>
    <t>Local budget</t>
  </si>
  <si>
    <t>Revenues of the government</t>
  </si>
  <si>
    <t>Total cash flow for federal government</t>
  </si>
  <si>
    <t>Total cash flow for local government</t>
  </si>
  <si>
    <t>Discount rate</t>
  </si>
  <si>
    <t>Net present value:</t>
  </si>
  <si>
    <t xml:space="preserve">    federal government</t>
  </si>
  <si>
    <t xml:space="preserve">    дебиторская задолж.  в обороте в течение периода</t>
  </si>
  <si>
    <t xml:space="preserve">    авансы, переходящие в следующий период</t>
  </si>
  <si>
    <t xml:space="preserve">    дебиторская задолж., переходящая в след. период</t>
  </si>
  <si>
    <t xml:space="preserve">    сдельная зарплата: в себестоимости</t>
  </si>
  <si>
    <t xml:space="preserve">АКТИВ                   </t>
  </si>
  <si>
    <t xml:space="preserve">Код стр. 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</si>
  <si>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</si>
  <si>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</si>
  <si>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</si>
  <si>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</si>
  <si>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</si>
  <si>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</si>
  <si>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</si>
  <si>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</si>
  <si>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    ИТОГО по разделу I</t>
  </si>
  <si>
    <t>II. ОБОРОТНЫЕ АКТИВЫ</t>
  </si>
  <si>
    <t>Запасы</t>
  </si>
  <si>
    <t>в том числе:</t>
  </si>
  <si>
    <t xml:space="preserve">      сырье, материалы и другие аналогичные ценности</t>
  </si>
  <si>
    <t xml:space="preserve">      животные на выращивании и откорме</t>
  </si>
  <si>
    <t xml:space="preserve">      затраты в незавершенном производстве</t>
  </si>
  <si>
    <t xml:space="preserve">      готовая продукция и товары для перепродажи</t>
  </si>
  <si>
    <t xml:space="preserve">      товары отгруженные</t>
  </si>
  <si>
    <t>Учитывать стоимость существующих основных фондов</t>
  </si>
  <si>
    <t>Учитывать остаточную стоимость проекта</t>
  </si>
  <si>
    <t>Include value of fixed assets</t>
  </si>
  <si>
    <t>Остаточная стоимость проекта</t>
  </si>
  <si>
    <t>Residual value of the net assets</t>
  </si>
  <si>
    <t>Settings for Sensitivity Analysis</t>
  </si>
  <si>
    <t>срок</t>
  </si>
  <si>
    <t>ЗАТРАТЫ НА МАТЕРИАЛЫ И КОМПЛЕКТУЮЩИЕ</t>
  </si>
  <si>
    <t xml:space="preserve">    график производства (ед.)</t>
  </si>
  <si>
    <t xml:space="preserve">    авансовая оплата</t>
  </si>
  <si>
    <t xml:space="preserve">    оплата в кредит</t>
  </si>
  <si>
    <t xml:space="preserve">    уплачено НДС</t>
  </si>
  <si>
    <t xml:space="preserve"> = Итого</t>
  </si>
  <si>
    <t xml:space="preserve">    акцизы</t>
  </si>
  <si>
    <t>Адвалорные</t>
  </si>
  <si>
    <t>Твердые</t>
  </si>
  <si>
    <t xml:space="preserve">    к оплате от покупателей (без НДС)</t>
  </si>
  <si>
    <t xml:space="preserve">    немедленная оплата (без НДС)</t>
  </si>
  <si>
    <t xml:space="preserve">    поступления авансов (без НДС)</t>
  </si>
  <si>
    <t xml:space="preserve">    поступления от продаж в кредит (без НДС)</t>
  </si>
  <si>
    <t>Показывать реальные даты в названиях периодов?</t>
  </si>
  <si>
    <t>Украинский</t>
  </si>
  <si>
    <t>Нет</t>
  </si>
  <si>
    <t>English</t>
  </si>
  <si>
    <t>Версия программы</t>
  </si>
  <si>
    <t>Yes</t>
  </si>
  <si>
    <t>No</t>
  </si>
  <si>
    <t>Включена</t>
  </si>
  <si>
    <t>On</t>
  </si>
  <si>
    <t>Off</t>
  </si>
  <si>
    <t xml:space="preserve">    кредиторская задолженность</t>
  </si>
  <si>
    <t xml:space="preserve">    остаточная стоимость</t>
  </si>
  <si>
    <t xml:space="preserve">    амортизация (линейный метод)</t>
  </si>
  <si>
    <t xml:space="preserve">    выплаченный НДС</t>
  </si>
  <si>
    <t xml:space="preserve">    сумма платежей без НДС</t>
  </si>
  <si>
    <t xml:space="preserve">    полная сумма вложений в актив (без НДС)</t>
  </si>
  <si>
    <t xml:space="preserve">    балансовая стоимость</t>
  </si>
  <si>
    <t xml:space="preserve">    ранее осуществленные инвестиции (без НДС)</t>
  </si>
  <si>
    <t xml:space="preserve">    НДС к ранее осуществленным инвестициям</t>
  </si>
  <si>
    <t xml:space="preserve">    зачет НДС</t>
  </si>
  <si>
    <t xml:space="preserve">    накопленная амортизация</t>
  </si>
  <si>
    <t xml:space="preserve">    реализация актива (без НДС)</t>
  </si>
  <si>
    <t xml:space="preserve">    прибыль/убыток от реализации актива</t>
  </si>
  <si>
    <t xml:space="preserve">    НДС к выручке от реализации актива</t>
  </si>
  <si>
    <t xml:space="preserve">    амортизация (ускоренная),    для срока использования:</t>
  </si>
  <si>
    <t xml:space="preserve"> = Итого: Здания и сооружения</t>
  </si>
  <si>
    <t xml:space="preserve"> = Итого: Оборудование и другие основные фонды</t>
  </si>
  <si>
    <t xml:space="preserve">    амортизация</t>
  </si>
  <si>
    <t xml:space="preserve">    реализация активов (без НДС)</t>
  </si>
  <si>
    <t xml:space="preserve">    прибыль/убыток от реализации активов</t>
  </si>
  <si>
    <t xml:space="preserve">    НДС к выручке от реализации активов</t>
  </si>
  <si>
    <t xml:space="preserve"> = Итого: Расходы будущих периодов</t>
  </si>
  <si>
    <t xml:space="preserve"> = Итого: ВСЕ ПОСТОЯННЫЕ АКТИВЫ</t>
  </si>
  <si>
    <t>1_04</t>
  </si>
  <si>
    <t>1_05</t>
  </si>
  <si>
    <t>1_06</t>
  </si>
  <si>
    <t>1_07</t>
  </si>
  <si>
    <t>1_10</t>
  </si>
  <si>
    <t>1_11</t>
  </si>
  <si>
    <t>1_12</t>
  </si>
  <si>
    <t>1_13</t>
  </si>
  <si>
    <t>1_14</t>
  </si>
  <si>
    <t>1_15</t>
  </si>
  <si>
    <t xml:space="preserve">    Raw Materials and Components Stock</t>
  </si>
  <si>
    <t xml:space="preserve">       including:</t>
  </si>
  <si>
    <t>TOTAL ASSETS</t>
  </si>
  <si>
    <t>LIABILITY AND OWN EQUITY</t>
  </si>
  <si>
    <t>III. EQUITY &amp; RESERVES</t>
  </si>
  <si>
    <t>Total Own Equity</t>
  </si>
  <si>
    <t>IV. LONG-TERM LIABILITIES</t>
  </si>
  <si>
    <t>Loans</t>
  </si>
  <si>
    <t xml:space="preserve">    including:</t>
  </si>
  <si>
    <t>Accounts receivable (maturity within 12 months)</t>
  </si>
  <si>
    <t xml:space="preserve">    Fattening Animals</t>
  </si>
  <si>
    <t xml:space="preserve">    Work in Progress Inventory</t>
  </si>
  <si>
    <t xml:space="preserve">    Finished Goods &amp; Merchandise Inventory</t>
  </si>
  <si>
    <t xml:space="preserve">    Shipped Goods </t>
  </si>
  <si>
    <t xml:space="preserve">    Prepaid Expenses</t>
  </si>
  <si>
    <t xml:space="preserve">    Other Stocks &amp; Expences </t>
  </si>
  <si>
    <t>Accounts Receivable (Maturity After 12 Months)</t>
  </si>
  <si>
    <t xml:space="preserve">    Accounts Receivable from Customers</t>
  </si>
  <si>
    <t xml:space="preserve">    Accounts Receivable From Customers</t>
  </si>
  <si>
    <t>Current Financial Investments</t>
  </si>
  <si>
    <t>Other Working Assets</t>
  </si>
  <si>
    <t>Share Capital (Authorized Capital Stock)</t>
  </si>
  <si>
    <t>Redeemed Shares</t>
  </si>
  <si>
    <t>Capital Surplus</t>
  </si>
  <si>
    <t>Capital Reserves</t>
  </si>
  <si>
    <t xml:space="preserve">    Reserves Formed According to Law Regulations (Statutoty Reserves)</t>
  </si>
  <si>
    <t xml:space="preserve">    Reserves Formed According to Statutory Documents</t>
  </si>
  <si>
    <t>Profit and Loss Surplus (Retained Earnings)</t>
  </si>
  <si>
    <t>Deferred Tax Liabilities</t>
  </si>
  <si>
    <t>Other Long-Term Liabilities</t>
  </si>
  <si>
    <t>Total Long-Term Liabilities</t>
  </si>
  <si>
    <t>V. SHORT-TERM LIABILITIES</t>
  </si>
  <si>
    <t>Accounts payable:</t>
  </si>
  <si>
    <t>Clădiri şi construcţii</t>
  </si>
  <si>
    <t>Utilaj şi alte mijloace fixe</t>
  </si>
  <si>
    <t>Cheltuieli aferente perioadelor viitoare</t>
  </si>
  <si>
    <t xml:space="preserve">     suma plăţilor fără TVA</t>
  </si>
  <si>
    <t xml:space="preserve">     investiţii anterioare (fără TVA)</t>
  </si>
  <si>
    <t xml:space="preserve">     preţul total al activului (fără TVA)</t>
  </si>
  <si>
    <t xml:space="preserve">      iniţierea calculării uzurii din</t>
  </si>
  <si>
    <t xml:space="preserve">     trecerea frontierei la import</t>
  </si>
  <si>
    <t>Total active circulante</t>
  </si>
  <si>
    <t>Active pe termen lung</t>
  </si>
  <si>
    <t xml:space="preserve">    clădiri şi construcţii</t>
  </si>
  <si>
    <t xml:space="preserve">    utilaje şi alte active</t>
  </si>
  <si>
    <t>Investiţii capitale în curs de execuţie</t>
  </si>
  <si>
    <t>Total active pe termen lung</t>
  </si>
  <si>
    <t xml:space="preserve"> = TOTAL ACTIVE</t>
  </si>
  <si>
    <t>Datorii creditoare</t>
  </si>
  <si>
    <t>Оценка на основе ДД с учетом продленной стоимости</t>
  </si>
  <si>
    <t>ОСНОВНЫЕ ПОКАЗАТЕЛИ КОМПАНИИ</t>
  </si>
  <si>
    <t>operaţional (evidenţa în bilanţul companiei de leasing)</t>
  </si>
  <si>
    <t>operaţional (evidenţa în bilanţul beneficiarului de leasing)</t>
  </si>
  <si>
    <t>STOCURI</t>
  </si>
  <si>
    <t>Stocuri de materii prime şi materiale</t>
  </si>
  <si>
    <t xml:space="preserve">    periodicitatea achiziţiilor</t>
  </si>
  <si>
    <t xml:space="preserve">    stocuri minime la depozit</t>
  </si>
  <si>
    <t xml:space="preserve">    perioada medie de stocare</t>
  </si>
  <si>
    <t>Producţia în curs de execuţie</t>
  </si>
  <si>
    <t xml:space="preserve">    durata ciclului de producţie</t>
  </si>
  <si>
    <t>Stocuri de producţie finită</t>
  </si>
  <si>
    <t>По прочим налогам и платежам</t>
  </si>
  <si>
    <t>РАСЧЕТЫ С ПЕРСОНАЛОМ</t>
  </si>
  <si>
    <t xml:space="preserve">    частота выплаты заработной платы</t>
  </si>
  <si>
    <t>РЕЗЕРВ ДЕНЕЖНЫХ СРЕДСТВ</t>
  </si>
  <si>
    <t xml:space="preserve">    создавать?</t>
  </si>
  <si>
    <t xml:space="preserve">    покрытие потребности</t>
  </si>
  <si>
    <t xml:space="preserve">    полная балансовая стоимость</t>
  </si>
  <si>
    <t xml:space="preserve">    gross book value</t>
  </si>
  <si>
    <t xml:space="preserve">    средняя стоимость имущества за период</t>
  </si>
  <si>
    <t xml:space="preserve">    average taxable property value</t>
  </si>
  <si>
    <t>Текущая задолженность по заработной плате</t>
  </si>
  <si>
    <t>Резерв средств на обеспечение текущих расчетов</t>
  </si>
  <si>
    <t>Итого текущих активов</t>
  </si>
  <si>
    <t>Оборот, дн.</t>
  </si>
  <si>
    <t>Дебиторская задолженность (платежи по которой ожидаются в течение 12 месяцев)</t>
  </si>
  <si>
    <t>Итого текущих обязательств</t>
  </si>
  <si>
    <t>Proceeds from debt</t>
  </si>
  <si>
    <t>Repayment of debt</t>
  </si>
  <si>
    <t>Interest</t>
  </si>
  <si>
    <t>Long-term loans</t>
  </si>
  <si>
    <t xml:space="preserve"> = Total finansing</t>
  </si>
  <si>
    <t>Net cash without projects</t>
  </si>
  <si>
    <t>Net cash with projects</t>
  </si>
  <si>
    <t>Share</t>
  </si>
  <si>
    <t>for period</t>
  </si>
  <si>
    <t>Прочие поступления</t>
  </si>
  <si>
    <t>НДС на приобретенные товары</t>
  </si>
  <si>
    <t>Прочие оборотные активы</t>
  </si>
  <si>
    <t>Постоянные активы</t>
  </si>
  <si>
    <t xml:space="preserve">    здания и сооружения</t>
  </si>
  <si>
    <t xml:space="preserve">    оборудование и прочие активы</t>
  </si>
  <si>
    <t>Незавершенные капиталовложения</t>
  </si>
  <si>
    <t xml:space="preserve"> = ИТОГО АКТИВОВ</t>
  </si>
  <si>
    <t xml:space="preserve">    за поставленные товары</t>
  </si>
  <si>
    <t xml:space="preserve">    за постоянные активы</t>
  </si>
  <si>
    <t>Расчеты с бюджетом</t>
  </si>
  <si>
    <t>Расчеты с персоналом</t>
  </si>
  <si>
    <t>Краткосрочные кредиты</t>
  </si>
  <si>
    <t>Долгосрочные обязательства</t>
  </si>
  <si>
    <t>Акционерный капитал</t>
  </si>
  <si>
    <t xml:space="preserve"> = ИТОГО ПАССИВОВ</t>
  </si>
  <si>
    <t>2. НАЛОГИ, ОТНОСИМЫЕ НА ТЕКУЩИЕ ЗАТРАТЫ</t>
  </si>
  <si>
    <t>График чувствительности проекта</t>
  </si>
  <si>
    <t>График чувствительности компании в целом</t>
  </si>
  <si>
    <t>3. НАЛОГИ, ОТНОСИМЫЕ НА ФИНАНСОВЫЕ РЕЗУЛЬТАТЫ</t>
  </si>
  <si>
    <t>4. НАЛОГ НА ПРИБЫЛЬ</t>
  </si>
  <si>
    <t>Суммарные налоговые выплаты</t>
  </si>
  <si>
    <t>Импортные пошлины</t>
  </si>
  <si>
    <t>Период уплаты (дн.)</t>
  </si>
  <si>
    <t>Начисления на заработную плату</t>
  </si>
  <si>
    <t>Земельный налог</t>
  </si>
  <si>
    <t>Другие налоги с продаж</t>
  </si>
  <si>
    <t>Наименование налога</t>
  </si>
  <si>
    <t>Другие налоги, относимые на текущие затраты</t>
  </si>
  <si>
    <t xml:space="preserve">    налогооблагаемая база</t>
  </si>
  <si>
    <t>Румынский</t>
  </si>
  <si>
    <t>Da</t>
  </si>
  <si>
    <t>Nu</t>
  </si>
  <si>
    <t>Pornit</t>
  </si>
  <si>
    <t>Oprit</t>
  </si>
  <si>
    <t>Valuta de bază</t>
  </si>
  <si>
    <t>Valuta străină</t>
  </si>
  <si>
    <t>lei</t>
  </si>
  <si>
    <t>UAH</t>
  </si>
  <si>
    <t>mii lei</t>
  </si>
  <si>
    <t>mii $</t>
  </si>
  <si>
    <t>mii EUR</t>
  </si>
  <si>
    <t>mii GBP</t>
  </si>
  <si>
    <t>Акционер 3</t>
  </si>
  <si>
    <t>Акционер 4</t>
  </si>
  <si>
    <t>доля в УК</t>
  </si>
  <si>
    <t>доходность:</t>
  </si>
  <si>
    <t xml:space="preserve">    расчетная величина лизинговых платежей (без НДС)</t>
  </si>
  <si>
    <t>Реальная величина лизинговых платежей (с НДС)</t>
  </si>
  <si>
    <t xml:space="preserve">    авансы, уплаченные лизингодателю (местная валюта)</t>
  </si>
  <si>
    <t xml:space="preserve">    арендованные основные средства </t>
  </si>
  <si>
    <t xml:space="preserve"> = Итого лизинговые платежи, уплаченные, с НДС</t>
  </si>
  <si>
    <t>Начисленный ЕСН и страхование</t>
  </si>
  <si>
    <t>Расходы на зарплату с учетом ЕСН и страхования</t>
  </si>
  <si>
    <t xml:space="preserve"> = Итого лизинговые платежи, начисленные, без НДС</t>
  </si>
  <si>
    <t xml:space="preserve"> = Итого выкуп основных средств, с НДС</t>
  </si>
  <si>
    <t xml:space="preserve">    НДС к лизинговым платежам и выкупу</t>
  </si>
  <si>
    <t xml:space="preserve">      начисленные лизинговые платежи</t>
  </si>
  <si>
    <t xml:space="preserve">    при оплате лизинга и выкупе арендованных активов</t>
  </si>
  <si>
    <t>Тип кредита</t>
  </si>
  <si>
    <t>Отсрочка выплаты процентов</t>
  </si>
  <si>
    <t>мес.</t>
  </si>
  <si>
    <t>кв.</t>
  </si>
  <si>
    <t>пг.</t>
  </si>
  <si>
    <t>лет</t>
  </si>
  <si>
    <t>mon.</t>
  </si>
  <si>
    <t>q.</t>
  </si>
  <si>
    <t>sy.</t>
  </si>
  <si>
    <t>y.</t>
  </si>
  <si>
    <t>Поступление денег от кредита</t>
  </si>
  <si>
    <t>Погашение основного долга</t>
  </si>
  <si>
    <t>Валюта кредита</t>
  </si>
  <si>
    <t>Годовая процентная ставка</t>
  </si>
  <si>
    <t>Инвестиционный</t>
  </si>
  <si>
    <t>Хозяйственный (на пополнение оборотных средств)</t>
  </si>
  <si>
    <t>Инвестиционный кредит из федерального бюджета</t>
  </si>
  <si>
    <t>Инвестиционный кредит из регионального бюджета</t>
  </si>
  <si>
    <t>Managerial and administrative staff salary</t>
  </si>
  <si>
    <t>General production staff salary tax</t>
  </si>
  <si>
    <t>Auxiliary production staff salary tax</t>
  </si>
  <si>
    <t>Sales and marketing staff salary tax</t>
  </si>
  <si>
    <t>Managerial and administrative staff salary tax</t>
  </si>
  <si>
    <t>(Внимание! Измение этих параметров вручную приведет</t>
  </si>
  <si>
    <t>к неправильной работе ряда формул и макросов)</t>
  </si>
  <si>
    <t>Основная валюта</t>
  </si>
  <si>
    <t>Main currency</t>
  </si>
  <si>
    <t>Foreign currency</t>
  </si>
  <si>
    <t xml:space="preserve">    налог с продаж</t>
  </si>
  <si>
    <t>Валюта</t>
  </si>
  <si>
    <t>МАТЕРИАЛЫ И КОМПЛЕКТУЮЩИЕ (на ед. продукта, с НДС)</t>
  </si>
  <si>
    <t>Ставка процентов по кредитам, в пределах которой</t>
  </si>
  <si>
    <t>уменьшается налогооблагаемая прибыль:</t>
  </si>
  <si>
    <t>основная валюта</t>
  </si>
  <si>
    <t>иностранная валюта</t>
  </si>
  <si>
    <t>Метод расчета</t>
  </si>
  <si>
    <t>-</t>
  </si>
  <si>
    <t>Год начала проекта</t>
  </si>
  <si>
    <t>Месяц начала проекта</t>
  </si>
  <si>
    <t>Демоверсия</t>
  </si>
  <si>
    <t xml:space="preserve">    Номинальный объем</t>
  </si>
  <si>
    <t>ИТОГО</t>
  </si>
  <si>
    <t>ПЛАН РЕАЛИЗАЦИИ</t>
  </si>
  <si>
    <t>ДОХОДЫ ОТ ПРОДАЖ</t>
  </si>
  <si>
    <t xml:space="preserve">    немедленная оплата</t>
  </si>
  <si>
    <t>доля</t>
  </si>
  <si>
    <t xml:space="preserve">    цена без НДС и акцизов</t>
  </si>
  <si>
    <t xml:space="preserve">    НДС</t>
  </si>
  <si>
    <t xml:space="preserve">    получено НДС</t>
  </si>
  <si>
    <t>SENSITIVITY ANALYSIS</t>
  </si>
  <si>
    <t>Analysis performed for the project:</t>
  </si>
  <si>
    <t>Starting Value</t>
  </si>
  <si>
    <t>Increment</t>
  </si>
  <si>
    <t>Analysis Results:</t>
  </si>
  <si>
    <t>Minimum Cash at the End of Period</t>
  </si>
  <si>
    <t>Total Net Profit</t>
  </si>
  <si>
    <t>Required Investments</t>
  </si>
  <si>
    <t>Value of the Business</t>
  </si>
  <si>
    <t>Project Sensitivity Chart</t>
  </si>
  <si>
    <t>Реализация основных средств (все строки без НДС):</t>
  </si>
  <si>
    <t xml:space="preserve">    остаточная стоимость реализуемых активов</t>
  </si>
  <si>
    <t xml:space="preserve">    затраты по реализации активов</t>
  </si>
  <si>
    <t xml:space="preserve">    прибыль (+) / убыток (-) от реализации активов</t>
  </si>
  <si>
    <t>Остаточная стоимость внеоборотных активов</t>
  </si>
  <si>
    <t>Полная стоимость внеоборотных активов</t>
  </si>
  <si>
    <t>Незавершенные капитальные вложения</t>
  </si>
  <si>
    <t xml:space="preserve"> (дисконтированные)</t>
  </si>
  <si>
    <t xml:space="preserve"> (discounted)</t>
  </si>
  <si>
    <t>Включение проектов в суммарные результаты:</t>
  </si>
  <si>
    <t xml:space="preserve">    общая стоимость актива (без НДС)</t>
  </si>
  <si>
    <t xml:space="preserve">    начало амортизации с</t>
  </si>
  <si>
    <t>периода</t>
  </si>
  <si>
    <t xml:space="preserve">    пересечение границы при импорте</t>
  </si>
  <si>
    <t xml:space="preserve">    дополнительная пошлина при импорте</t>
  </si>
  <si>
    <t>период</t>
  </si>
  <si>
    <t xml:space="preserve">    незавершенные инвестиции</t>
  </si>
  <si>
    <t>5.05</t>
  </si>
  <si>
    <t>Forte</t>
  </si>
  <si>
    <t>VENITURI DIN VÎNZĂRI</t>
  </si>
  <si>
    <t>Calculul salariilor</t>
  </si>
  <si>
    <t xml:space="preserve">     incl. accize, impozite şi taxe</t>
  </si>
  <si>
    <t xml:space="preserve">     fluxul monetar din vînzări:</t>
  </si>
  <si>
    <t xml:space="preserve">     plata imediată (fără TVA)</t>
  </si>
  <si>
    <t xml:space="preserve">     avansuri incasate (fără TVA)</t>
  </si>
  <si>
    <t xml:space="preserve">     incasări din vînzări în credit (fără TVA)</t>
  </si>
  <si>
    <t xml:space="preserve">     total incasări (fără TVA)</t>
  </si>
  <si>
    <t xml:space="preserve">     TVA incasat</t>
  </si>
  <si>
    <t xml:space="preserve">     avansuri în circulaţie în timpul perioadei</t>
  </si>
  <si>
    <t xml:space="preserve">     avansuri transferate în perioada următoare</t>
  </si>
  <si>
    <t xml:space="preserve">     creanţe în circulaţie în perioada de calcul</t>
  </si>
  <si>
    <t xml:space="preserve">     creanţe, transferate în perioada următoare</t>
  </si>
  <si>
    <t>cota parte</t>
  </si>
  <si>
    <t>termen</t>
  </si>
  <si>
    <t>MATERIALE ŞI COMPONENTE  (pe unitate de produs, incl. TVA)</t>
  </si>
  <si>
    <t xml:space="preserve">SALARIU VARIABIL (în acord, pe unitate de produs) </t>
  </si>
  <si>
    <t xml:space="preserve">CHELTUIELI PENTRU MATERIALE ŞI COMPONENTE </t>
  </si>
  <si>
    <t xml:space="preserve">     stocuri minime de producţie finită</t>
  </si>
  <si>
    <t xml:space="preserve">     stocuri de facto  producţie finită</t>
  </si>
  <si>
    <t xml:space="preserve">     graficul producerii (unit.)</t>
  </si>
  <si>
    <t xml:space="preserve">     salariu în acord: în costul de producţie</t>
  </si>
  <si>
    <t xml:space="preserve">      --- // --- calculat pentru producţia finită</t>
  </si>
  <si>
    <t xml:space="preserve">      --- // --- inclus în stocurile de producţie finită</t>
  </si>
  <si>
    <t xml:space="preserve">    materiale: utilizate la produsele vîndute</t>
  </si>
  <si>
    <t xml:space="preserve">       --- // --- utilizate în producţia finită</t>
  </si>
  <si>
    <t>1. НАЛОГ НА ДОБАВЛЕННУЮ СТОИМОСТЬ</t>
  </si>
  <si>
    <t>дней</t>
  </si>
  <si>
    <t xml:space="preserve">    от покупателей</t>
  </si>
  <si>
    <t xml:space="preserve">    с выручкой от реализации активов</t>
  </si>
  <si>
    <t xml:space="preserve">    при оплате материалов и комплектующих</t>
  </si>
  <si>
    <t xml:space="preserve">    при оплате текущих затрат</t>
  </si>
  <si>
    <t xml:space="preserve">    при оплате постоянных активов</t>
  </si>
  <si>
    <t xml:space="preserve">    ставка</t>
  </si>
  <si>
    <t xml:space="preserve">    период уплаты</t>
  </si>
  <si>
    <t xml:space="preserve">    способ зачета переплаченного НДС</t>
  </si>
  <si>
    <t>Платежи НДС в бюджет (или возврат из бюджета)</t>
  </si>
  <si>
    <t xml:space="preserve">    НДС к уплате в бюджет (или к возврату из бюджета)</t>
  </si>
  <si>
    <t xml:space="preserve">    зачтенный НДС на постоянные активы</t>
  </si>
  <si>
    <t xml:space="preserve">    выплаченный, но еще не зачтенный НДС</t>
  </si>
  <si>
    <t xml:space="preserve">    отложенный возврат НДС из бюджета</t>
  </si>
  <si>
    <t>Выручка (нетто)</t>
  </si>
  <si>
    <t xml:space="preserve">      материалы и комплектующие</t>
  </si>
  <si>
    <t xml:space="preserve">      производственные расходы</t>
  </si>
  <si>
    <t xml:space="preserve">      амортизация</t>
  </si>
  <si>
    <t xml:space="preserve"> + Прибыль (убыток) от прочей реализации</t>
  </si>
  <si>
    <t xml:space="preserve"> -  Проценты к уплате</t>
  </si>
  <si>
    <t xml:space="preserve"> -  Налоги, относимые на финансовые результаты</t>
  </si>
  <si>
    <t>НДС по консолидированной отчетности</t>
  </si>
  <si>
    <t>за период</t>
  </si>
  <si>
    <t xml:space="preserve">      коммерческие расходы</t>
  </si>
  <si>
    <t xml:space="preserve">      управленческие расходы</t>
  </si>
  <si>
    <t>= Оборотные активы</t>
  </si>
  <si>
    <t>Расчеты с бюджетом и внебюджетными фондами</t>
  </si>
  <si>
    <t>= Краткосрочные обязательства</t>
  </si>
  <si>
    <t xml:space="preserve">= Чистый оборотный капитал </t>
  </si>
  <si>
    <t>Запасы материалов и комплектующих</t>
  </si>
  <si>
    <t>Доля внеоборотных активов, приобретаемых на внутреннем рынке</t>
  </si>
  <si>
    <t>Средневзвешенный темп изменения цен</t>
  </si>
  <si>
    <t xml:space="preserve">Амортизационные отчисления </t>
  </si>
  <si>
    <t>Начальное значение</t>
  </si>
  <si>
    <t>Шаг изменения</t>
  </si>
  <si>
    <t>Уровень цен на реализуемую продукцию</t>
  </si>
  <si>
    <t>АНАЛИЗ ЧУВСТВИТЕЛЬНОСТИ</t>
  </si>
  <si>
    <t>Анализ выполнен для проекта:</t>
  </si>
  <si>
    <t>Результаты анализа:</t>
  </si>
  <si>
    <t>Норма доходности инвестиционных затрат</t>
  </si>
  <si>
    <t>Минимальный остаток денежных средств на счете</t>
  </si>
  <si>
    <t>Суммарная чистая прибыль за период анализа</t>
  </si>
  <si>
    <t>Потребность в инвестициях</t>
  </si>
  <si>
    <t>НДС уплаченный по постоянным активам</t>
  </si>
  <si>
    <t>Потребность в финансировании внеоборотных активов (с НДС)</t>
  </si>
  <si>
    <t xml:space="preserve"> = Инвестиционные затраты</t>
  </si>
  <si>
    <t>Увеличение уставного капитала</t>
  </si>
  <si>
    <t>= Уставный капитал</t>
  </si>
  <si>
    <t xml:space="preserve">Краткосрочные кредиты </t>
  </si>
  <si>
    <t>Задолженность по кредитам</t>
  </si>
  <si>
    <t>Проценты по кредитам</t>
  </si>
  <si>
    <t xml:space="preserve">Долгосрочные кредиты </t>
  </si>
  <si>
    <t xml:space="preserve"> = Источники финансирования</t>
  </si>
  <si>
    <t>Потребность в финансировании ЧОК</t>
  </si>
  <si>
    <t>Свободные денежные средства без учета проектов</t>
  </si>
  <si>
    <t>Свободные денежные средства (компания + проекты)</t>
  </si>
  <si>
    <t>Налог на прибыль по консолидированной отчетности</t>
  </si>
  <si>
    <t>Дивиденды по консолидированной отчетности</t>
  </si>
  <si>
    <t>Дисконтированный срок окупаемости</t>
  </si>
  <si>
    <t>Инвестиции в постоянные активы</t>
  </si>
  <si>
    <t>Инвестиции в чистый оборотный капитал</t>
  </si>
  <si>
    <t>IRR</t>
  </si>
  <si>
    <t>Ставка сравнения (дисконтирования)</t>
  </si>
  <si>
    <t>Привлечение кредитов</t>
  </si>
  <si>
    <t>Погашение задолженности</t>
  </si>
  <si>
    <t>Выплаты процентов по кредитам</t>
  </si>
  <si>
    <t>Собственные средства и целевое финансирование</t>
  </si>
  <si>
    <t>Выручка от реализации (без НДС)</t>
  </si>
  <si>
    <t>Постоянные цены</t>
  </si>
  <si>
    <t>Текущие цены</t>
  </si>
  <si>
    <t>(инфляция не учитывается)</t>
  </si>
  <si>
    <t>(инфляция учитывается)</t>
  </si>
  <si>
    <t>MACROECONOMICAL ENVIRONMENT</t>
  </si>
  <si>
    <t>Supposed internal inflation rate</t>
  </si>
  <si>
    <t>Summary of All Projects</t>
  </si>
  <si>
    <t>PROPERTIES</t>
  </si>
  <si>
    <t xml:space="preserve">    periodicitatea livrării</t>
  </si>
  <si>
    <t xml:space="preserve">    stocuri minimale la depozit, pentru</t>
  </si>
  <si>
    <t>DECONTĂRILE CU CUMPĂRĂTORII</t>
  </si>
  <si>
    <t>Incasările din vînzări</t>
  </si>
  <si>
    <t xml:space="preserve">    plata imediată</t>
  </si>
  <si>
    <t xml:space="preserve">    vînzări cu plata în avans</t>
  </si>
  <si>
    <t xml:space="preserve">    vînzări în credit</t>
  </si>
  <si>
    <t>Suma facturilor spre incasare</t>
  </si>
  <si>
    <t xml:space="preserve">     coeficientul de discont</t>
  </si>
  <si>
    <t xml:space="preserve">    transferate în perioada de gestiune următoare</t>
  </si>
  <si>
    <t>Suma avansurilor primite</t>
  </si>
  <si>
    <t>Viteza de rotaţie a capitalului propriu</t>
  </si>
  <si>
    <t>Viteza de rotaţie a activelor pe termen lung</t>
  </si>
  <si>
    <t>Perioada de colectare a creanţelor</t>
  </si>
  <si>
    <t>Perioada de colectare a datoriilor creditoare</t>
  </si>
  <si>
    <t>Coeficientul lichidităţii generale (curente)</t>
  </si>
  <si>
    <t>Coeficientul lichidităţii intermediară</t>
  </si>
  <si>
    <t>Coeficientul lichidităţii absolute</t>
  </si>
  <si>
    <t>Capital circulant net</t>
  </si>
  <si>
    <t>Coeficientul general de solvabilitate</t>
  </si>
  <si>
    <t>Coeficientul de autonomie</t>
  </si>
  <si>
    <t>Cota creditelor pe termen lung în valuta bilanţului</t>
  </si>
  <si>
    <t>Indicele general de acoperire a datoriei</t>
  </si>
  <si>
    <t>Acoperirea dobînzii la credite</t>
  </si>
  <si>
    <t>Grafic: Lichiditatea</t>
  </si>
  <si>
    <t>Grafic: Rentabilitatea activelor</t>
  </si>
  <si>
    <t>Grafic: Capital circulant net</t>
  </si>
  <si>
    <t>EFICIENŢA INVESTIŢIEI</t>
  </si>
  <si>
    <t>Evaluarea eficienţei investiţiei se face pentru:</t>
  </si>
  <si>
    <t>Valuta de decontare:</t>
  </si>
  <si>
    <t>Rata anuală de actualizare:</t>
  </si>
  <si>
    <t>perioade</t>
  </si>
  <si>
    <t xml:space="preserve">     rata de actualizare în perioada de gestiune</t>
  </si>
  <si>
    <t>Fluxurile monetare ale proiectului luate în consideraţie:</t>
  </si>
  <si>
    <t xml:space="preserve">    cu excepţia dobînzii la credite</t>
  </si>
  <si>
    <t>Include projects in summary:</t>
  </si>
  <si>
    <t>Include company?</t>
  </si>
  <si>
    <t>substract</t>
  </si>
  <si>
    <t>TAXES AND PROFIT DISTRIBUTION</t>
  </si>
  <si>
    <t>VAT on consolidated reports</t>
  </si>
  <si>
    <t>Profit tax on consolidated reports</t>
  </si>
  <si>
    <t>Dividends on consolidated reports</t>
  </si>
  <si>
    <t>The same, calculated to the project step</t>
  </si>
  <si>
    <t>Inflation index for the main currency</t>
  </si>
  <si>
    <t>Supposed yearly growth of</t>
  </si>
  <si>
    <t>exchange rate of foreign currency</t>
  </si>
  <si>
    <t>Intrarea mijloacelor băneşti din credit</t>
  </si>
  <si>
    <t>Stingerea datoriei principale</t>
  </si>
  <si>
    <t>Dobînda achitată</t>
  </si>
  <si>
    <t>Datorii la sfîrşitul perioadei curente</t>
  </si>
  <si>
    <t xml:space="preserve">      perioada în care a fost luat credit prima dată</t>
  </si>
  <si>
    <t xml:space="preserve">      dobînda achitată din contul profitului</t>
  </si>
  <si>
    <t xml:space="preserve"> = Total: Intrări din credite</t>
  </si>
  <si>
    <t xml:space="preserve"> = Total: Stingerea creditelor</t>
  </si>
  <si>
    <t xml:space="preserve"> = Total: Achitarea dobînzii</t>
  </si>
  <si>
    <t xml:space="preserve"> = Total: Datorii la credite</t>
  </si>
  <si>
    <t xml:space="preserve">    datorii la credite operaţionale</t>
  </si>
  <si>
    <t xml:space="preserve">    datorii la credite investiţionale</t>
  </si>
  <si>
    <t>IMPOZITE ŞI PLĂŢI ÎN FONDURI</t>
  </si>
  <si>
    <t xml:space="preserve"> = Current liabilities available</t>
  </si>
  <si>
    <t xml:space="preserve"> = Net working capital required</t>
  </si>
  <si>
    <t>Investments costs share paid in local currency</t>
  </si>
  <si>
    <t>Dispоsal of fixed assets:</t>
  </si>
  <si>
    <t xml:space="preserve"> - depreciated value of disposed assets</t>
  </si>
  <si>
    <t xml:space="preserve"> - costs of disposal of assets (excl. VAT)</t>
  </si>
  <si>
    <t xml:space="preserve"> - Profit (+)/Loss (-) from disposal of assets (excl. VAT)</t>
  </si>
  <si>
    <t>VAT to fixed assets</t>
  </si>
  <si>
    <t>Unfinished investments</t>
  </si>
  <si>
    <t>Operating start interval</t>
  </si>
  <si>
    <t>Average velocity of costs changes</t>
  </si>
  <si>
    <t>Inflation index</t>
  </si>
  <si>
    <t>Additional investments (in current prices)</t>
  </si>
  <si>
    <t>Investments including inflation</t>
  </si>
  <si>
    <t>Gross fixed assets</t>
  </si>
  <si>
    <t>Net fixed assets</t>
  </si>
  <si>
    <t>FINANCING</t>
  </si>
  <si>
    <t>Requirement in  financing of net working capital</t>
  </si>
  <si>
    <t>Requirement in  financing of fixed investment costs</t>
  </si>
  <si>
    <t xml:space="preserve"> = Investment costs</t>
  </si>
  <si>
    <t>Increase in statutory equity</t>
  </si>
  <si>
    <t xml:space="preserve"> = Statutory equity</t>
  </si>
  <si>
    <t>Short-term loans</t>
  </si>
  <si>
    <t>ЦЕНА РЕАЛИЗАЦИИ (за единицу, с НДС)</t>
  </si>
  <si>
    <t>ОБЪЕМЫ РЕАЛИЗАЦИИ (в единицах)</t>
  </si>
  <si>
    <t xml:space="preserve">    график оплаты материалов и комплектующих:</t>
  </si>
  <si>
    <t>Основной производственный персонал</t>
  </si>
  <si>
    <t>Наименование</t>
  </si>
  <si>
    <t>Кол-во</t>
  </si>
  <si>
    <t xml:space="preserve">    количество</t>
  </si>
  <si>
    <t xml:space="preserve">    месячный оклад</t>
  </si>
  <si>
    <t>чел.</t>
  </si>
  <si>
    <t>Вспомогательный производственный персонал</t>
  </si>
  <si>
    <t>Мес. оклад</t>
  </si>
  <si>
    <t>Административный персонал</t>
  </si>
  <si>
    <t>Общая численность персонала</t>
  </si>
  <si>
    <t>руб.</t>
  </si>
  <si>
    <t>rub.</t>
  </si>
  <si>
    <t>$</t>
  </si>
  <si>
    <t>EUR</t>
  </si>
  <si>
    <t>GBP</t>
  </si>
  <si>
    <t>гр.</t>
  </si>
  <si>
    <t>gr.</t>
  </si>
  <si>
    <t>тыс. руб.</t>
  </si>
  <si>
    <t>rub. 000</t>
  </si>
  <si>
    <t>тыс. $</t>
  </si>
  <si>
    <t>$ 000</t>
  </si>
  <si>
    <t>тыс. EUR</t>
  </si>
  <si>
    <t>EUR 000</t>
  </si>
  <si>
    <t>тыс. GBP</t>
  </si>
  <si>
    <t>GBP 000</t>
  </si>
  <si>
    <t>тыс. гр.</t>
  </si>
  <si>
    <t>gr. 000</t>
  </si>
  <si>
    <t>месяц</t>
  </si>
  <si>
    <t>квартал</t>
  </si>
  <si>
    <t>полугодие</t>
  </si>
  <si>
    <t>год</t>
  </si>
  <si>
    <t>дн.</t>
  </si>
  <si>
    <t>month</t>
  </si>
  <si>
    <t>quarter</t>
  </si>
  <si>
    <t>6 months</t>
  </si>
  <si>
    <t>year</t>
  </si>
  <si>
    <t>d.</t>
  </si>
  <si>
    <t>expenses</t>
  </si>
  <si>
    <t>Административные расходы</t>
  </si>
  <si>
    <t>Коммерческие расходы</t>
  </si>
  <si>
    <t xml:space="preserve">    в том числе НДС</t>
  </si>
  <si>
    <t>Средний коэффициент загрузки производства</t>
  </si>
  <si>
    <t>Коммерческие расходы как % от продаж</t>
  </si>
  <si>
    <t>1_02</t>
  </si>
  <si>
    <t xml:space="preserve">    Производственные расходы</t>
  </si>
  <si>
    <t xml:space="preserve">    Административные расходы</t>
  </si>
  <si>
    <t xml:space="preserve">    Коммерческие расходы</t>
  </si>
  <si>
    <t xml:space="preserve">        сумма без НДС</t>
  </si>
  <si>
    <t xml:space="preserve">        НДС</t>
  </si>
  <si>
    <t>1_01</t>
  </si>
  <si>
    <t>Коммерческий персонал</t>
  </si>
  <si>
    <t>Здания и сооружения</t>
  </si>
  <si>
    <t>Оборудование и другие основные фонды</t>
  </si>
  <si>
    <t>Расходы будущих периодов</t>
  </si>
  <si>
    <t>Суммарные результаты реализации проектов</t>
  </si>
  <si>
    <t>ОБЩИЕ ДАННЫЕ</t>
  </si>
  <si>
    <t>Grafic: Fluxul monetar</t>
  </si>
  <si>
    <t>Grafic: Aceeaşi, cumulativ</t>
  </si>
  <si>
    <t xml:space="preserve"> </t>
  </si>
  <si>
    <t>PREŢUL DE VÎNZARE (pentru o unitate, incl.TVA)</t>
  </si>
  <si>
    <t>Valuta</t>
  </si>
  <si>
    <t xml:space="preserve">     preţ fără TVA şi accize</t>
  </si>
  <si>
    <t xml:space="preserve">     accize</t>
  </si>
  <si>
    <t xml:space="preserve">     impozit din vînzări</t>
  </si>
  <si>
    <t xml:space="preserve">     TVA</t>
  </si>
  <si>
    <t>Advalorice</t>
  </si>
  <si>
    <t>mii UAH</t>
  </si>
  <si>
    <t>luna</t>
  </si>
  <si>
    <t>trimestru</t>
  </si>
  <si>
    <t>semestru</t>
  </si>
  <si>
    <t>an</t>
  </si>
  <si>
    <t>zile</t>
  </si>
  <si>
    <t>tr.</t>
  </si>
  <si>
    <t>sem.</t>
  </si>
  <si>
    <t>ani</t>
  </si>
  <si>
    <t>Operaţional (credit) (pentru completarea mijloacelor circulante)</t>
  </si>
  <si>
    <t>Investiţional</t>
  </si>
  <si>
    <t>Credit investiţional din bugetul de stat</t>
  </si>
  <si>
    <t>Credit investiţional din bugetul local</t>
  </si>
  <si>
    <t>Descrierea proiectului</t>
  </si>
  <si>
    <t>Denumirea proiectului</t>
  </si>
  <si>
    <t>Data lansării proiectului</t>
  </si>
  <si>
    <t>Perioada de implementare a proiectului</t>
  </si>
  <si>
    <t>Pas de planificare</t>
  </si>
  <si>
    <t>Durata pasului de planificare</t>
  </si>
  <si>
    <t>Valuta de bază pentru plată</t>
  </si>
  <si>
    <t>Limba</t>
  </si>
  <si>
    <t>Protecţia</t>
  </si>
  <si>
    <t>Valuta folosită la afişarea rezultatelor</t>
  </si>
  <si>
    <t>Prezentarea datelor reale în denumirea perioadelor?</t>
  </si>
  <si>
    <t>Anul de lansare a proiectului</t>
  </si>
  <si>
    <t>Luna de lansare a proiectului</t>
  </si>
  <si>
    <t>Numărul de perioade</t>
  </si>
  <si>
    <t>Denumirea perioadelor fără indicarea datei</t>
  </si>
  <si>
    <t>Data începerii perioadei</t>
  </si>
  <si>
    <t>Denumirea perioadelor cu indicarea datei</t>
  </si>
  <si>
    <t>MEDIUL MACROECONOMIC</t>
  </si>
  <si>
    <t>Metoda de calcul</t>
  </si>
  <si>
    <t>Rata anuală prognozată  internă</t>
  </si>
  <si>
    <t>a inflaţiei valutei de bază</t>
  </si>
  <si>
    <t>Similar, recalculat pentru perioada, echivalent cu pasul proiectului</t>
  </si>
  <si>
    <t>Multiplicatorul majorării preţurilor pentru valuta de bază</t>
  </si>
  <si>
    <t>Rata de creştere anuală prognozată</t>
  </si>
  <si>
    <t>a cursului de schimb la valuta străină</t>
  </si>
  <si>
    <t>Cursul de schimb</t>
  </si>
  <si>
    <t xml:space="preserve">       --- // --- valoarea în stocurile de producţie finită</t>
  </si>
  <si>
    <t xml:space="preserve">       --- // ---  în producţia în curs de execuţie</t>
  </si>
  <si>
    <t xml:space="preserve">       --- // --- utilizate în producere</t>
  </si>
  <si>
    <t xml:space="preserve">       --- // --- stoc minim </t>
  </si>
  <si>
    <t xml:space="preserve">       --- // --- stoc  de facto</t>
  </si>
  <si>
    <t xml:space="preserve">     graficul achizţiilor de materiale şi componente</t>
  </si>
  <si>
    <t xml:space="preserve">     graficul achitării materialelor şi componentelor:</t>
  </si>
  <si>
    <t xml:space="preserve">     plata imediată</t>
  </si>
  <si>
    <t xml:space="preserve">     plata în avans</t>
  </si>
  <si>
    <t xml:space="preserve">     plata în credit</t>
  </si>
  <si>
    <t xml:space="preserve">     plăţi totale pentru materiale (fără TVA)</t>
  </si>
  <si>
    <t xml:space="preserve">     TVA achitat</t>
  </si>
  <si>
    <t xml:space="preserve">     avansuri în circulaţie în timpul perioadei de calcul</t>
  </si>
  <si>
    <t xml:space="preserve">     avansuri, transferate pentru perioada următoare</t>
  </si>
  <si>
    <t xml:space="preserve">     taxa (la 1000 m2)</t>
  </si>
  <si>
    <t>Ресторан восточной кухни</t>
  </si>
  <si>
    <t>Услуга-чек без спиртного</t>
  </si>
  <si>
    <t>Услуга-чек со спиртным</t>
  </si>
  <si>
    <t>ед</t>
  </si>
  <si>
    <t>накладные расходы</t>
  </si>
  <si>
    <t>Текущие непроизводственные расходы</t>
  </si>
  <si>
    <t>Финансово-экономическая модель проекта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</si>
</sst>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"/>
    <numFmt numFmtId="166" formatCode="#&quot; дн.&quot;;&quot;Ошибка!&quot;;&quot;0 дн.&quot;"/>
    <numFmt numFmtId="167" formatCode="#,##0.0"/>
    <numFmt numFmtId="168" formatCode="dd/mm/yyyy;@"/>
    <numFmt numFmtId="169" formatCode="0.0000"/>
  </numFmts>
  <fonts count="25">
    <font>
      <sz val="8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i/>
      <sz val="12"/>
      <color indexed="12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8"/>
      <color indexed="22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i/>
      <sz val="8"/>
      <color indexed="55"/>
      <name val="Arial Cyr"/>
      <charset val="204"/>
    </font>
    <font>
      <sz val="8"/>
      <name val="Arial Cyr"/>
    </font>
    <font>
      <sz val="7"/>
      <name val="Arial Cyr"/>
    </font>
    <font>
      <b/>
      <sz val="8"/>
      <name val="Arial Cyr"/>
    </font>
    <font>
      <sz val="8"/>
      <color indexed="22"/>
      <name val="Arial Cyr"/>
    </font>
    <font>
      <b/>
      <sz val="8"/>
      <color indexed="22"/>
      <name val="Arial Cyr"/>
    </font>
    <font>
      <sz val="8"/>
      <color indexed="10"/>
      <name val="Arial Cyr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9" fontId="2" fillId="0" borderId="0" xfId="2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3" applyNumberFormat="1" applyFont="1" applyFill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7" fillId="0" borderId="0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1" fillId="2" borderId="0" xfId="0" applyFont="1" applyFill="1" applyAlignment="1">
      <alignment horizontal="center"/>
    </xf>
    <xf numFmtId="0" fontId="15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9" fontId="2" fillId="0" borderId="0" xfId="2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3" fontId="6" fillId="0" borderId="2" xfId="0" applyNumberFormat="1" applyFont="1" applyBorder="1"/>
    <xf numFmtId="0" fontId="1" fillId="0" borderId="0" xfId="0" applyFont="1" applyAlignment="1">
      <alignment wrapText="1"/>
    </xf>
    <xf numFmtId="3" fontId="1" fillId="2" borderId="0" xfId="0" applyNumberFormat="1" applyFont="1" applyFill="1"/>
    <xf numFmtId="0" fontId="1" fillId="0" borderId="11" xfId="0" applyFont="1" applyBorder="1" applyAlignment="1">
      <alignment horizontal="center"/>
    </xf>
    <xf numFmtId="164" fontId="1" fillId="0" borderId="0" xfId="2" applyNumberFormat="1" applyFont="1"/>
    <xf numFmtId="164" fontId="1" fillId="2" borderId="0" xfId="2" applyNumberFormat="1" applyFont="1" applyFill="1"/>
    <xf numFmtId="164" fontId="1" fillId="0" borderId="0" xfId="0" applyNumberFormat="1" applyFont="1"/>
    <xf numFmtId="164" fontId="7" fillId="0" borderId="0" xfId="0" applyNumberFormat="1" applyFont="1"/>
    <xf numFmtId="9" fontId="1" fillId="2" borderId="0" xfId="2" applyFont="1" applyFill="1" applyAlignment="1">
      <alignment horizontal="center"/>
    </xf>
    <xf numFmtId="9" fontId="1" fillId="2" borderId="12" xfId="2" applyFont="1" applyFill="1" applyBorder="1" applyAlignment="1">
      <alignment horizontal="center"/>
    </xf>
    <xf numFmtId="9" fontId="1" fillId="2" borderId="13" xfId="2" applyFont="1" applyFill="1" applyBorder="1" applyAlignment="1">
      <alignment horizontal="center"/>
    </xf>
    <xf numFmtId="9" fontId="1" fillId="2" borderId="14" xfId="2" applyFont="1" applyFill="1" applyBorder="1" applyAlignment="1">
      <alignment horizontal="center"/>
    </xf>
    <xf numFmtId="3" fontId="1" fillId="0" borderId="2" xfId="0" applyNumberFormat="1" applyFont="1" applyBorder="1"/>
    <xf numFmtId="3" fontId="7" fillId="0" borderId="2" xfId="0" applyNumberFormat="1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6" fillId="0" borderId="2" xfId="0" applyNumberFormat="1" applyFont="1" applyFill="1" applyBorder="1"/>
    <xf numFmtId="3" fontId="7" fillId="0" borderId="0" xfId="0" applyNumberFormat="1" applyFont="1" applyFill="1"/>
    <xf numFmtId="3" fontId="9" fillId="0" borderId="2" xfId="0" applyNumberFormat="1" applyFont="1" applyFill="1" applyBorder="1"/>
    <xf numFmtId="0" fontId="16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 vertical="center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9" fontId="9" fillId="0" borderId="0" xfId="2" applyFont="1"/>
    <xf numFmtId="3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3" borderId="0" xfId="0" applyFont="1" applyFill="1"/>
    <xf numFmtId="1" fontId="1" fillId="0" borderId="2" xfId="0" applyNumberFormat="1" applyFont="1" applyBorder="1" applyAlignment="1">
      <alignment horizontal="right"/>
    </xf>
    <xf numFmtId="0" fontId="17" fillId="0" borderId="0" xfId="0" applyFont="1"/>
    <xf numFmtId="9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" fillId="0" borderId="0" xfId="2" applyNumberFormat="1" applyFont="1"/>
    <xf numFmtId="3" fontId="1" fillId="2" borderId="0" xfId="0" applyNumberFormat="1" applyFont="1" applyFill="1" applyAlignment="1">
      <alignment vertical="center"/>
    </xf>
    <xf numFmtId="9" fontId="1" fillId="2" borderId="2" xfId="2" applyFont="1" applyFill="1" applyBorder="1" applyAlignment="1">
      <alignment horizontal="center"/>
    </xf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/>
    <xf numFmtId="1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9" fontId="2" fillId="2" borderId="0" xfId="2" applyNumberFormat="1" applyFont="1" applyFill="1" applyAlignment="1">
      <alignment vertical="center"/>
    </xf>
    <xf numFmtId="169" fontId="2" fillId="0" borderId="0" xfId="2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4">
    <cellStyle name="Обычный" xfId="0" builtinId="0"/>
    <cellStyle name="Обычный_MAIN" xfId="1"/>
    <cellStyle name="Процентный" xfId="2" builtinId="5"/>
    <cellStyle name="Финансовый" xfId="3" builtinId="3"/>
  </cellStyles>
  <dxfs count="5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FF4"/>
      <rgbColor rgb="00000000"/>
      <rgbColor rgb="00F0F0F0"/>
      <rgbColor rgb="00D4EAF8"/>
      <rgbColor rgb="00E0FFE0"/>
      <rgbColor rgb="00E6E6E6"/>
      <rgbColor rgb="00000000"/>
      <rgbColor rgb="00E0FFE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863111024563792"/>
          <c:y val="7.2674418604651167E-2"/>
          <c:w val="0.8482155183563499"/>
          <c:h val="0.73255813953488425"/>
        </c:manualLayout>
      </c:layout>
      <c:lineChart>
        <c:grouping val="standard"/>
        <c:ser>
          <c:idx val="0"/>
          <c:order val="0"/>
          <c:tx>
            <c:strRef>
              <c:f>Проект!$A$750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Проект!$G$748:$K$748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Проект!$G$750:$K$750</c:f>
              <c:numCache>
                <c:formatCode>#,##0</c:formatCode>
                <c:ptCount val="5"/>
                <c:pt idx="0">
                  <c:v>2272098.2142857141</c:v>
                </c:pt>
                <c:pt idx="1">
                  <c:v>4998616.0714285718</c:v>
                </c:pt>
                <c:pt idx="2">
                  <c:v>5498477.6785714291</c:v>
                </c:pt>
                <c:pt idx="3">
                  <c:v>6048325.4464285728</c:v>
                </c:pt>
                <c:pt idx="4">
                  <c:v>6653157.991071431</c:v>
                </c:pt>
              </c:numCache>
            </c:numRef>
          </c:val>
        </c:ser>
        <c:ser>
          <c:idx val="1"/>
          <c:order val="1"/>
          <c:tx>
            <c:strRef>
              <c:f>Проект!$A$758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Проект!$G$758:$K$758</c:f>
              <c:numCache>
                <c:formatCode>#,##0</c:formatCode>
                <c:ptCount val="5"/>
                <c:pt idx="0">
                  <c:v>864269.03571428568</c:v>
                </c:pt>
                <c:pt idx="1">
                  <c:v>1761590.8357142862</c:v>
                </c:pt>
                <c:pt idx="2">
                  <c:v>1548206.7757142866</c:v>
                </c:pt>
                <c:pt idx="3">
                  <c:v>1733359.1497142874</c:v>
                </c:pt>
                <c:pt idx="4">
                  <c:v>1937026.7611142872</c:v>
                </c:pt>
              </c:numCache>
            </c:numRef>
          </c:val>
        </c:ser>
        <c:ser>
          <c:idx val="2"/>
          <c:order val="2"/>
          <c:tx>
            <c:strRef>
              <c:f>Проект!$A$767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Проект!$G$767:$K$767</c:f>
              <c:numCache>
                <c:formatCode>#,##0</c:formatCode>
                <c:ptCount val="5"/>
                <c:pt idx="0">
                  <c:v>551769.03571428568</c:v>
                </c:pt>
                <c:pt idx="1">
                  <c:v>985796.25089285756</c:v>
                </c:pt>
                <c:pt idx="2">
                  <c:v>851969.09267857228</c:v>
                </c:pt>
                <c:pt idx="3">
                  <c:v>1141781.9398928585</c:v>
                </c:pt>
                <c:pt idx="4">
                  <c:v>1445768.774507144</c:v>
                </c:pt>
              </c:numCache>
            </c:numRef>
          </c:val>
        </c:ser>
        <c:marker val="1"/>
        <c:axId val="116352512"/>
        <c:axId val="116354432"/>
      </c:lineChart>
      <c:catAx>
        <c:axId val="116352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6354432"/>
        <c:crosses val="autoZero"/>
        <c:auto val="1"/>
        <c:lblAlgn val="ctr"/>
        <c:lblOffset val="100"/>
        <c:tickLblSkip val="1"/>
        <c:tickMarkSkip val="1"/>
      </c:catAx>
      <c:valAx>
        <c:axId val="11635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635251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35745531808522"/>
          <c:y val="0.91569767441860528"/>
          <c:w val="0.6532747469066366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Сумм!$A$252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Сумм!$F$252:$K$252</c:f>
              <c:numCache>
                <c:formatCode>#,##0</c:formatCode>
                <c:ptCount val="6"/>
                <c:pt idx="0">
                  <c:v>0</c:v>
                </c:pt>
                <c:pt idx="1">
                  <c:v>563277.86607142841</c:v>
                </c:pt>
                <c:pt idx="2">
                  <c:v>1072809.6542410715</c:v>
                </c:pt>
                <c:pt idx="3">
                  <c:v>1115511.6691517867</c:v>
                </c:pt>
                <c:pt idx="4">
                  <c:v>1426921.6219910737</c:v>
                </c:pt>
                <c:pt idx="5">
                  <c:v>2950793.1510517895</c:v>
                </c:pt>
              </c:numCache>
            </c:numRef>
          </c:val>
        </c:ser>
        <c:ser>
          <c:idx val="1"/>
          <c:order val="1"/>
          <c:tx>
            <c:strRef>
              <c:f>Сумм!$A$254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Сумм!$F$254:$K$254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Сумм!$A$256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Сумм!$F$256:$K$256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Сумм!$A$258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Сумм!$F$258:$K$258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Сумм!$A$260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Сумм!$F$260:$K$260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Сумм!$A$262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Сумм!$F$262:$K$262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28872448"/>
        <c:axId val="128873984"/>
      </c:barChart>
      <c:lineChart>
        <c:grouping val="standard"/>
        <c:ser>
          <c:idx val="6"/>
          <c:order val="6"/>
          <c:tx>
            <c:strRef>
              <c:f>Сумм!$A$271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Сумм!$F$271:$K$271</c:f>
              <c:numCache>
                <c:formatCode>#,##0</c:formatCode>
                <c:ptCount val="6"/>
                <c:pt idx="0">
                  <c:v>0</c:v>
                </c:pt>
                <c:pt idx="1">
                  <c:v>874635.00892857125</c:v>
                </c:pt>
                <c:pt idx="2">
                  <c:v>1072809.6542410715</c:v>
                </c:pt>
                <c:pt idx="3">
                  <c:v>1115511.6691517867</c:v>
                </c:pt>
                <c:pt idx="4">
                  <c:v>1426921.6219910737</c:v>
                </c:pt>
                <c:pt idx="5">
                  <c:v>2950793.1510517895</c:v>
                </c:pt>
              </c:numCache>
            </c:numRef>
          </c:val>
        </c:ser>
        <c:marker val="1"/>
        <c:axId val="128872448"/>
        <c:axId val="128873984"/>
      </c:lineChart>
      <c:catAx>
        <c:axId val="128872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73984"/>
        <c:crosses val="autoZero"/>
        <c:auto val="1"/>
        <c:lblAlgn val="ctr"/>
        <c:lblOffset val="100"/>
        <c:tickLblSkip val="1"/>
        <c:tickMarkSkip val="1"/>
      </c:catAx>
      <c:valAx>
        <c:axId val="128873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7244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Сумм!$A$49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Сумм!$G$49:$K$49</c:f>
              <c:numCache>
                <c:formatCode>#,##0</c:formatCode>
                <c:ptCount val="5"/>
                <c:pt idx="0">
                  <c:v>2272098.2142857141</c:v>
                </c:pt>
                <c:pt idx="1">
                  <c:v>4998616.0714285718</c:v>
                </c:pt>
                <c:pt idx="2">
                  <c:v>5498477.6785714291</c:v>
                </c:pt>
                <c:pt idx="3">
                  <c:v>6048325.4464285728</c:v>
                </c:pt>
                <c:pt idx="4">
                  <c:v>6653157.991071431</c:v>
                </c:pt>
              </c:numCache>
            </c:numRef>
          </c:val>
        </c:ser>
        <c:ser>
          <c:idx val="1"/>
          <c:order val="1"/>
          <c:tx>
            <c:strRef>
              <c:f>Сумм!$A$65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Сумм!$G$65:$K$65</c:f>
              <c:numCache>
                <c:formatCode>#,##0</c:formatCode>
                <c:ptCount val="5"/>
                <c:pt idx="0">
                  <c:v>864269.03571428568</c:v>
                </c:pt>
                <c:pt idx="1">
                  <c:v>1761590.8357142862</c:v>
                </c:pt>
                <c:pt idx="2">
                  <c:v>1548206.7757142866</c:v>
                </c:pt>
                <c:pt idx="3">
                  <c:v>1733359.1497142874</c:v>
                </c:pt>
                <c:pt idx="4">
                  <c:v>1937026.7611142872</c:v>
                </c:pt>
              </c:numCache>
            </c:numRef>
          </c:val>
        </c:ser>
        <c:ser>
          <c:idx val="2"/>
          <c:order val="2"/>
          <c:tx>
            <c:strRef>
              <c:f>Сумм!$A$83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Сумм!$G$83:$K$83</c:f>
              <c:numCache>
                <c:formatCode>#,##0</c:formatCode>
                <c:ptCount val="5"/>
                <c:pt idx="0">
                  <c:v>551769.03571428568</c:v>
                </c:pt>
                <c:pt idx="1">
                  <c:v>985796.25089285756</c:v>
                </c:pt>
                <c:pt idx="2">
                  <c:v>851969.09267857228</c:v>
                </c:pt>
                <c:pt idx="3">
                  <c:v>1141781.9398928585</c:v>
                </c:pt>
                <c:pt idx="4">
                  <c:v>1445768.774507144</c:v>
                </c:pt>
              </c:numCache>
            </c:numRef>
          </c:val>
        </c:ser>
        <c:marker val="1"/>
        <c:axId val="129140608"/>
        <c:axId val="129175552"/>
      </c:lineChart>
      <c:catAx>
        <c:axId val="12914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75552"/>
        <c:crosses val="autoZero"/>
        <c:auto val="1"/>
        <c:lblAlgn val="ctr"/>
        <c:lblOffset val="100"/>
        <c:tickLblSkip val="1"/>
        <c:tickMarkSkip val="1"/>
      </c:catAx>
      <c:valAx>
        <c:axId val="129175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40608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Сумм!$A$87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Сумм!$G$87:$K$87</c:f>
              <c:numCache>
                <c:formatCode>#,##0</c:formatCode>
                <c:ptCount val="5"/>
                <c:pt idx="0">
                  <c:v>441415.22857142857</c:v>
                </c:pt>
                <c:pt idx="1">
                  <c:v>788637.000714286</c:v>
                </c:pt>
                <c:pt idx="2">
                  <c:v>681575.27414285787</c:v>
                </c:pt>
                <c:pt idx="3">
                  <c:v>913425.5519142868</c:v>
                </c:pt>
                <c:pt idx="4">
                  <c:v>1156615.0196057153</c:v>
                </c:pt>
              </c:numCache>
            </c:numRef>
          </c:val>
        </c:ser>
        <c:axId val="129199104"/>
        <c:axId val="129204992"/>
      </c:barChart>
      <c:catAx>
        <c:axId val="129199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04992"/>
        <c:crosses val="autoZero"/>
        <c:auto val="1"/>
        <c:lblAlgn val="ctr"/>
        <c:lblOffset val="100"/>
        <c:tickLblSkip val="1"/>
        <c:tickMarkSkip val="1"/>
      </c:catAx>
      <c:valAx>
        <c:axId val="12920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9910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Сумм!$A$166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Сумм!$F$166:$K$166</c:f>
              <c:numCache>
                <c:formatCode>#,##0</c:formatCode>
                <c:ptCount val="6"/>
                <c:pt idx="0">
                  <c:v>0</c:v>
                </c:pt>
                <c:pt idx="1">
                  <c:v>441415.22857142857</c:v>
                </c:pt>
                <c:pt idx="2">
                  <c:v>1403311.107857143</c:v>
                </c:pt>
                <c:pt idx="3">
                  <c:v>984892.23842857196</c:v>
                </c:pt>
                <c:pt idx="4">
                  <c:v>1216742.5162000011</c:v>
                </c:pt>
                <c:pt idx="5">
                  <c:v>1459931.9838914303</c:v>
                </c:pt>
              </c:numCache>
            </c:numRef>
          </c:val>
        </c:ser>
        <c:ser>
          <c:idx val="0"/>
          <c:order val="1"/>
          <c:tx>
            <c:strRef>
              <c:f>Сумм!$A$196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Сумм!$F$196:$K$196</c:f>
              <c:numCache>
                <c:formatCode>#,##0</c:formatCode>
                <c:ptCount val="6"/>
                <c:pt idx="0">
                  <c:v>0</c:v>
                </c:pt>
                <c:pt idx="1">
                  <c:v>526044.88551587285</c:v>
                </c:pt>
                <c:pt idx="2">
                  <c:v>475519.01761408756</c:v>
                </c:pt>
                <c:pt idx="3">
                  <c:v>27413.206799603766</c:v>
                </c:pt>
                <c:pt idx="4">
                  <c:v>302756.49691706477</c:v>
                </c:pt>
                <c:pt idx="5">
                  <c:v>1514352.7275462716</c:v>
                </c:pt>
              </c:numCache>
            </c:numRef>
          </c:val>
        </c:ser>
        <c:overlap val="50"/>
        <c:axId val="129250432"/>
        <c:axId val="129251968"/>
      </c:barChart>
      <c:catAx>
        <c:axId val="129250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51968"/>
        <c:crosses val="autoZero"/>
        <c:auto val="1"/>
        <c:lblAlgn val="ctr"/>
        <c:lblOffset val="100"/>
        <c:tickLblSkip val="1"/>
        <c:tickMarkSkip val="1"/>
      </c:catAx>
      <c:valAx>
        <c:axId val="129251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5043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Сумм!$A$197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Сумм!$F$197:$K$197</c:f>
              <c:numCache>
                <c:formatCode>#,##0</c:formatCode>
                <c:ptCount val="6"/>
                <c:pt idx="0">
                  <c:v>0</c:v>
                </c:pt>
                <c:pt idx="1">
                  <c:v>526044.88551587285</c:v>
                </c:pt>
                <c:pt idx="2">
                  <c:v>1001563.9031299604</c:v>
                </c:pt>
                <c:pt idx="3">
                  <c:v>1028977.1099295642</c:v>
                </c:pt>
                <c:pt idx="4">
                  <c:v>1331733.6068466289</c:v>
                </c:pt>
                <c:pt idx="5">
                  <c:v>2846086.3343929006</c:v>
                </c:pt>
              </c:numCache>
            </c:numRef>
          </c:val>
        </c:ser>
        <c:marker val="1"/>
        <c:axId val="129287680"/>
        <c:axId val="129289600"/>
      </c:lineChart>
      <c:catAx>
        <c:axId val="129287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89600"/>
        <c:crosses val="autoZero"/>
        <c:auto val="1"/>
        <c:lblAlgn val="ctr"/>
        <c:lblOffset val="100"/>
        <c:tickLblSkip val="1"/>
        <c:tickMarkSkip val="1"/>
      </c:catAx>
      <c:valAx>
        <c:axId val="12928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8768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Сумм!$A$364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Сумм!$G$364:$K$364</c:f>
              <c:numCache>
                <c:formatCode>0.00</c:formatCode>
                <c:ptCount val="5"/>
                <c:pt idx="0">
                  <c:v>7.1772204087456348</c:v>
                </c:pt>
                <c:pt idx="1">
                  <c:v>5.4159515606284518</c:v>
                </c:pt>
                <c:pt idx="2">
                  <c:v>4.9382282917279987</c:v>
                </c:pt>
                <c:pt idx="3">
                  <c:v>4.979477171334783</c:v>
                </c:pt>
                <c:pt idx="4">
                  <c:v>8.4188088740467091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Сумм!$A$365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Сумм!$G$365:$K$365</c:f>
              <c:numCache>
                <c:formatCode>0.00</c:formatCode>
                <c:ptCount val="5"/>
                <c:pt idx="0">
                  <c:v>4.6222359668805657</c:v>
                </c:pt>
                <c:pt idx="1">
                  <c:v>5.4159515606284518</c:v>
                </c:pt>
                <c:pt idx="2">
                  <c:v>4.9382282917279987</c:v>
                </c:pt>
                <c:pt idx="3">
                  <c:v>4.979477171334783</c:v>
                </c:pt>
                <c:pt idx="4">
                  <c:v>8.4188088740467091</c:v>
                </c:pt>
              </c:numCache>
            </c:numRef>
          </c:val>
          <c:smooth val="1"/>
        </c:ser>
        <c:marker val="1"/>
        <c:axId val="129334656"/>
        <c:axId val="129357312"/>
      </c:lineChart>
      <c:catAx>
        <c:axId val="129334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57312"/>
        <c:crosses val="autoZero"/>
        <c:auto val="1"/>
        <c:lblAlgn val="ctr"/>
        <c:lblOffset val="100"/>
        <c:tickLblSkip val="1"/>
        <c:tickMarkSkip val="1"/>
      </c:catAx>
      <c:valAx>
        <c:axId val="129357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34656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Сумм!$A$348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Сумм!$G$348:$K$348</c:f>
              <c:numCache>
                <c:formatCode>0.0%</c:formatCode>
                <c:ptCount val="5"/>
                <c:pt idx="0">
                  <c:v>0.12723547827873535</c:v>
                </c:pt>
                <c:pt idx="1">
                  <c:v>0.23081788062006944</c:v>
                </c:pt>
                <c:pt idx="2">
                  <c:v>0.2107642270650355</c:v>
                </c:pt>
                <c:pt idx="3">
                  <c:v>0.29393590705274675</c:v>
                </c:pt>
                <c:pt idx="4">
                  <c:v>0.31076005729872486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Сумм!$A$350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Сумм!$G$350:$K$350</c:f>
              <c:numCache>
                <c:formatCode>0.0%</c:formatCode>
                <c:ptCount val="5"/>
                <c:pt idx="0">
                  <c:v>0.17012562147281488</c:v>
                </c:pt>
                <c:pt idx="1">
                  <c:v>0.32281704655367927</c:v>
                </c:pt>
                <c:pt idx="2">
                  <c:v>0.3185426252369416</c:v>
                </c:pt>
                <c:pt idx="3">
                  <c:v>0.49741352675398304</c:v>
                </c:pt>
                <c:pt idx="4">
                  <c:v>0.75446168206907782</c:v>
                </c:pt>
              </c:numCache>
            </c:numRef>
          </c:val>
          <c:smooth val="1"/>
        </c:ser>
        <c:marker val="1"/>
        <c:axId val="129410176"/>
        <c:axId val="129412096"/>
      </c:lineChart>
      <c:catAx>
        <c:axId val="129410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12096"/>
        <c:crosses val="autoZero"/>
        <c:auto val="1"/>
        <c:lblAlgn val="ctr"/>
        <c:lblOffset val="100"/>
        <c:tickLblSkip val="1"/>
        <c:tickMarkSkip val="1"/>
      </c:catAx>
      <c:valAx>
        <c:axId val="12941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10176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Сумм!$A$367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Сумм!$G$367:$K$367</c:f>
              <c:numCache>
                <c:formatCode>#,##0</c:formatCode>
                <c:ptCount val="5"/>
                <c:pt idx="0">
                  <c:v>752772.37142857118</c:v>
                </c:pt>
                <c:pt idx="1">
                  <c:v>874726.33642857149</c:v>
                </c:pt>
                <c:pt idx="2">
                  <c:v>889618.57485714369</c:v>
                </c:pt>
                <c:pt idx="3">
                  <c:v>1140361.0910571448</c:v>
                </c:pt>
                <c:pt idx="4">
                  <c:v>2600293.0749485749</c:v>
                </c:pt>
              </c:numCache>
            </c:numRef>
          </c:val>
        </c:ser>
        <c:axId val="129456384"/>
        <c:axId val="129462272"/>
      </c:barChart>
      <c:catAx>
        <c:axId val="129456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62272"/>
        <c:crosses val="autoZero"/>
        <c:auto val="1"/>
        <c:lblAlgn val="ctr"/>
        <c:lblOffset val="100"/>
        <c:tickLblSkip val="1"/>
        <c:tickMarkSkip val="1"/>
      </c:catAx>
      <c:valAx>
        <c:axId val="129462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5638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Сумм!$A$473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Сумм!$F$451:$K$451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Сумм!$F$473:$K$473</c:f>
              <c:numCache>
                <c:formatCode>#,##0</c:formatCode>
                <c:ptCount val="6"/>
                <c:pt idx="0">
                  <c:v>0</c:v>
                </c:pt>
                <c:pt idx="1">
                  <c:v>-1983295.9287367726</c:v>
                </c:pt>
                <c:pt idx="2">
                  <c:v>-696935.49983810075</c:v>
                </c:pt>
                <c:pt idx="3">
                  <c:v>37123.068911670009</c:v>
                </c:pt>
                <c:pt idx="4">
                  <c:v>714204.71287244593</c:v>
                </c:pt>
                <c:pt idx="5">
                  <c:v>1322789.1101952468</c:v>
                </c:pt>
              </c:numCache>
            </c:numRef>
          </c:val>
          <c:smooth val="1"/>
        </c:ser>
        <c:marker val="1"/>
        <c:axId val="129489920"/>
        <c:axId val="129770624"/>
      </c:lineChart>
      <c:catAx>
        <c:axId val="129489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770624"/>
        <c:crosses val="autoZero"/>
        <c:auto val="1"/>
        <c:lblAlgn val="ctr"/>
        <c:lblOffset val="100"/>
        <c:tickLblSkip val="1"/>
        <c:tickMarkSkip val="1"/>
      </c:catAx>
      <c:valAx>
        <c:axId val="129770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8992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51"/>
        </c:manualLayout>
      </c:layout>
      <c:lineChart>
        <c:grouping val="standard"/>
        <c:ser>
          <c:idx val="0"/>
          <c:order val="0"/>
          <c:tx>
            <c:strRef>
              <c:f>Анализ!$A$23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Анализ!$F$23:$L$23</c:f>
              <c:numCache>
                <c:formatCode>0</c:formatCode>
                <c:ptCount val="7"/>
                <c:pt idx="0">
                  <c:v>-199685.18873572949</c:v>
                </c:pt>
                <c:pt idx="1">
                  <c:v>-109279.86664304936</c:v>
                </c:pt>
                <c:pt idx="2">
                  <c:v>-23231.699093764459</c:v>
                </c:pt>
                <c:pt idx="3">
                  <c:v>61910.270299061114</c:v>
                </c:pt>
                <c:pt idx="4">
                  <c:v>146585.67669976616</c:v>
                </c:pt>
                <c:pt idx="5">
                  <c:v>231057.94735432602</c:v>
                </c:pt>
                <c:pt idx="6">
                  <c:v>315046.54707789992</c:v>
                </c:pt>
              </c:numCache>
            </c:numRef>
          </c:val>
        </c:ser>
        <c:marker val="1"/>
        <c:axId val="134976256"/>
        <c:axId val="134978176"/>
      </c:lineChart>
      <c:catAx>
        <c:axId val="134976256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978176"/>
        <c:crosses val="autoZero"/>
        <c:auto val="1"/>
        <c:lblAlgn val="ctr"/>
        <c:lblOffset val="100"/>
        <c:tickLblSkip val="1"/>
        <c:tickMarkSkip val="1"/>
      </c:catAx>
      <c:valAx>
        <c:axId val="13497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97625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13"/>
          <c:w val="0.35163204747774485"/>
          <c:h val="6.37684202518165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48214348206474217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0.14244186046511645"/>
          <c:w val="0.88392985597135409"/>
          <c:h val="0.66279069767442034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Проект!$A$769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Проект!$G$748:$K$748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Проект!$G$769:$K$769</c:f>
              <c:numCache>
                <c:formatCode>#,##0</c:formatCode>
                <c:ptCount val="5"/>
                <c:pt idx="0">
                  <c:v>441415.22857142857</c:v>
                </c:pt>
                <c:pt idx="1">
                  <c:v>788637.000714286</c:v>
                </c:pt>
                <c:pt idx="2">
                  <c:v>681575.27414285787</c:v>
                </c:pt>
                <c:pt idx="3">
                  <c:v>913425.5519142868</c:v>
                </c:pt>
                <c:pt idx="4">
                  <c:v>1156615.0196057153</c:v>
                </c:pt>
              </c:numCache>
            </c:numRef>
          </c:val>
        </c:ser>
        <c:axId val="117868032"/>
        <c:axId val="117879168"/>
      </c:barChart>
      <c:catAx>
        <c:axId val="117868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7879168"/>
        <c:crosses val="autoZero"/>
        <c:auto val="1"/>
        <c:lblAlgn val="ctr"/>
        <c:lblOffset val="100"/>
        <c:tickLblSkip val="1"/>
        <c:tickMarkSkip val="1"/>
      </c:catAx>
      <c:valAx>
        <c:axId val="117879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786803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410776777902798"/>
          <c:y val="0.91569767441860528"/>
          <c:w val="0.2247026934133234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51"/>
        </c:manualLayout>
      </c:layout>
      <c:lineChart>
        <c:grouping val="standard"/>
        <c:ser>
          <c:idx val="0"/>
          <c:order val="0"/>
          <c:tx>
            <c:strRef>
              <c:f>Анализ!$A$60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Анализ!$F$60:$L$60</c:f>
              <c:numCache>
                <c:formatCode>0</c:formatCode>
                <c:ptCount val="7"/>
                <c:pt idx="0">
                  <c:v>-642175.35603261599</c:v>
                </c:pt>
                <c:pt idx="1">
                  <c:v>-597153.55125404394</c:v>
                </c:pt>
                <c:pt idx="2">
                  <c:v>-553313.08550015942</c:v>
                </c:pt>
                <c:pt idx="3">
                  <c:v>-509953.07668749278</c:v>
                </c:pt>
                <c:pt idx="4">
                  <c:v>-466907.38845642802</c:v>
                </c:pt>
                <c:pt idx="5">
                  <c:v>-423983.01723230619</c:v>
                </c:pt>
                <c:pt idx="6">
                  <c:v>-381404.29209457297</c:v>
                </c:pt>
              </c:numCache>
            </c:numRef>
          </c:val>
        </c:ser>
        <c:marker val="1"/>
        <c:axId val="135083520"/>
        <c:axId val="135085440"/>
      </c:lineChart>
      <c:catAx>
        <c:axId val="135083520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5085440"/>
        <c:crosses val="autoZero"/>
        <c:auto val="1"/>
        <c:lblAlgn val="ctr"/>
        <c:lblOffset val="100"/>
        <c:tickLblSkip val="1"/>
        <c:tickMarkSkip val="1"/>
      </c:catAx>
      <c:valAx>
        <c:axId val="135085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508352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13"/>
          <c:w val="0.35163204747774485"/>
          <c:h val="6.37684202518165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8452480428758122E-2"/>
          <c:y val="7.2674418604651167E-2"/>
          <c:w val="0.88839414817322959"/>
          <c:h val="0.73255813953488425"/>
        </c:manualLayout>
      </c:layout>
      <c:lineChart>
        <c:grouping val="standard"/>
        <c:ser>
          <c:idx val="0"/>
          <c:order val="0"/>
          <c:tx>
            <c:strRef>
              <c:f>Проект!$A$1025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Проект!$G$1007:$K$1007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Проект!$G$1025:$K$1025</c:f>
              <c:numCache>
                <c:formatCode>0.00</c:formatCode>
                <c:ptCount val="5"/>
                <c:pt idx="0">
                  <c:v>7.1772204087456348</c:v>
                </c:pt>
                <c:pt idx="1">
                  <c:v>5.4159515606284518</c:v>
                </c:pt>
                <c:pt idx="2">
                  <c:v>4.9382282917279987</c:v>
                </c:pt>
                <c:pt idx="3">
                  <c:v>4.979477171334783</c:v>
                </c:pt>
                <c:pt idx="4">
                  <c:v>8.4188088740467091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Проект!$A$1026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Проект!$G$1026:$K$1026</c:f>
              <c:numCache>
                <c:formatCode>0.00</c:formatCode>
                <c:ptCount val="5"/>
                <c:pt idx="0">
                  <c:v>4.6222359668805657</c:v>
                </c:pt>
                <c:pt idx="1">
                  <c:v>5.4159515606284518</c:v>
                </c:pt>
                <c:pt idx="2">
                  <c:v>4.9382282917279987</c:v>
                </c:pt>
                <c:pt idx="3">
                  <c:v>4.979477171334783</c:v>
                </c:pt>
                <c:pt idx="4">
                  <c:v>8.4188088740467091</c:v>
                </c:pt>
              </c:numCache>
            </c:numRef>
          </c:val>
          <c:smooth val="1"/>
        </c:ser>
        <c:marker val="1"/>
        <c:axId val="123672064"/>
        <c:axId val="123673984"/>
      </c:lineChart>
      <c:catAx>
        <c:axId val="123672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673984"/>
        <c:crosses val="autoZero"/>
        <c:auto val="1"/>
        <c:lblAlgn val="ctr"/>
        <c:lblOffset val="100"/>
        <c:tickLblSkip val="1"/>
        <c:tickMarkSkip val="1"/>
      </c:catAx>
      <c:valAx>
        <c:axId val="123673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67206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98840769903782"/>
          <c:y val="0.91569767441860528"/>
          <c:w val="0.6473223659542550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2262038838760829E-2"/>
          <c:y val="7.2674418604651167E-2"/>
          <c:w val="0.86458458976322605"/>
          <c:h val="0.73255813953488425"/>
        </c:manualLayout>
      </c:layout>
      <c:lineChart>
        <c:grouping val="standard"/>
        <c:ser>
          <c:idx val="0"/>
          <c:order val="0"/>
          <c:tx>
            <c:strRef>
              <c:f>Проект!$A$1009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Проект!$G$1007:$K$1007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Проект!$G$1009:$K$1009</c:f>
              <c:numCache>
                <c:formatCode>0.0%</c:formatCode>
                <c:ptCount val="5"/>
                <c:pt idx="0">
                  <c:v>0.12723547827873535</c:v>
                </c:pt>
                <c:pt idx="1">
                  <c:v>0.23081788062006944</c:v>
                </c:pt>
                <c:pt idx="2">
                  <c:v>0.2107642270650355</c:v>
                </c:pt>
                <c:pt idx="3">
                  <c:v>0.29393590705274675</c:v>
                </c:pt>
                <c:pt idx="4">
                  <c:v>0.31076005729872486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Проект!$A$1011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Проект!$G$1011:$K$1011</c:f>
              <c:numCache>
                <c:formatCode>0.0%</c:formatCode>
                <c:ptCount val="5"/>
                <c:pt idx="0">
                  <c:v>0.17012562147281488</c:v>
                </c:pt>
                <c:pt idx="1">
                  <c:v>0.32281704655367927</c:v>
                </c:pt>
                <c:pt idx="2">
                  <c:v>0.3185426252369416</c:v>
                </c:pt>
                <c:pt idx="3">
                  <c:v>0.49741352675398304</c:v>
                </c:pt>
                <c:pt idx="4">
                  <c:v>0.75446168206907782</c:v>
                </c:pt>
              </c:numCache>
            </c:numRef>
          </c:val>
          <c:smooth val="1"/>
        </c:ser>
        <c:marker val="1"/>
        <c:axId val="123789312"/>
        <c:axId val="123791232"/>
      </c:lineChart>
      <c:catAx>
        <c:axId val="123789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91232"/>
        <c:crosses val="autoZero"/>
        <c:auto val="1"/>
        <c:lblAlgn val="ctr"/>
        <c:lblOffset val="100"/>
        <c:tickLblSkip val="1"/>
        <c:tickMarkSkip val="1"/>
      </c:catAx>
      <c:valAx>
        <c:axId val="123791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8931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19078865141856"/>
          <c:y val="0.91569767441860528"/>
          <c:w val="0.595239032620922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8541795337197926"/>
          <c:h val="0.79360465116279122"/>
        </c:manualLayout>
      </c:layout>
      <c:barChart>
        <c:barDir val="col"/>
        <c:grouping val="clustered"/>
        <c:ser>
          <c:idx val="1"/>
          <c:order val="0"/>
          <c:tx>
            <c:strRef>
              <c:f>Проект!$A$867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Проект!$F$867:$K$867</c:f>
              <c:numCache>
                <c:formatCode>#,##0</c:formatCode>
                <c:ptCount val="6"/>
                <c:pt idx="0">
                  <c:v>0</c:v>
                </c:pt>
                <c:pt idx="1">
                  <c:v>441415.22857142857</c:v>
                </c:pt>
                <c:pt idx="2">
                  <c:v>1403311.107857143</c:v>
                </c:pt>
                <c:pt idx="3">
                  <c:v>984892.23842857219</c:v>
                </c:pt>
                <c:pt idx="4">
                  <c:v>1216742.5162000011</c:v>
                </c:pt>
                <c:pt idx="5">
                  <c:v>1459931.9838914303</c:v>
                </c:pt>
              </c:numCache>
            </c:numRef>
          </c:val>
        </c:ser>
        <c:ser>
          <c:idx val="0"/>
          <c:order val="1"/>
          <c:tx>
            <c:strRef>
              <c:f>Проект!$A$886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Проект!$F$886:$K$886</c:f>
              <c:numCache>
                <c:formatCode>#,##0</c:formatCode>
                <c:ptCount val="6"/>
                <c:pt idx="0">
                  <c:v>0</c:v>
                </c:pt>
                <c:pt idx="1">
                  <c:v>526044.88551587285</c:v>
                </c:pt>
                <c:pt idx="2">
                  <c:v>475519.01761408756</c:v>
                </c:pt>
                <c:pt idx="3">
                  <c:v>27413.206799603999</c:v>
                </c:pt>
                <c:pt idx="4">
                  <c:v>302756.49691706477</c:v>
                </c:pt>
                <c:pt idx="5">
                  <c:v>1514352.7275462716</c:v>
                </c:pt>
              </c:numCache>
            </c:numRef>
          </c:val>
        </c:ser>
        <c:overlap val="50"/>
        <c:axId val="124569088"/>
        <c:axId val="124570624"/>
      </c:barChart>
      <c:catAx>
        <c:axId val="124569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570624"/>
        <c:crosses val="autoZero"/>
        <c:auto val="1"/>
        <c:lblAlgn val="ctr"/>
        <c:lblOffset val="100"/>
        <c:tickLblSkip val="1"/>
        <c:tickMarkSkip val="1"/>
      </c:catAx>
      <c:valAx>
        <c:axId val="124570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56908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13126484189489"/>
          <c:y val="0.91569767441860528"/>
          <c:w val="0.73363204599425058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497028496437945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22"/>
        </c:manualLayout>
      </c:layout>
      <c:lineChart>
        <c:grouping val="standard"/>
        <c:ser>
          <c:idx val="0"/>
          <c:order val="0"/>
          <c:tx>
            <c:strRef>
              <c:f>Проект!$A$887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Проект!$F$887:$K$887</c:f>
              <c:numCache>
                <c:formatCode>#,##0</c:formatCode>
                <c:ptCount val="6"/>
                <c:pt idx="0">
                  <c:v>0</c:v>
                </c:pt>
                <c:pt idx="1">
                  <c:v>526044.88551587285</c:v>
                </c:pt>
                <c:pt idx="2">
                  <c:v>1001563.9031299604</c:v>
                </c:pt>
                <c:pt idx="3">
                  <c:v>1028977.1099295644</c:v>
                </c:pt>
                <c:pt idx="4">
                  <c:v>1331733.6068466292</c:v>
                </c:pt>
                <c:pt idx="5">
                  <c:v>2846086.3343929006</c:v>
                </c:pt>
              </c:numCache>
            </c:numRef>
          </c:val>
        </c:ser>
        <c:marker val="1"/>
        <c:axId val="124060800"/>
        <c:axId val="124062720"/>
      </c:lineChart>
      <c:catAx>
        <c:axId val="12406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062720"/>
        <c:crosses val="autoZero"/>
        <c:auto val="1"/>
        <c:lblAlgn val="ctr"/>
        <c:lblOffset val="100"/>
        <c:tickLblSkip val="1"/>
        <c:tickMarkSkip val="1"/>
      </c:catAx>
      <c:valAx>
        <c:axId val="12406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06080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011951631046152"/>
          <c:y val="0.91569767441860528"/>
          <c:w val="0.3541671353580803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9285844037510564"/>
          <c:h val="0.65406976744186063"/>
        </c:manualLayout>
      </c:layout>
      <c:barChart>
        <c:barDir val="col"/>
        <c:grouping val="stacked"/>
        <c:ser>
          <c:idx val="0"/>
          <c:order val="0"/>
          <c:tx>
            <c:strRef>
              <c:f>Проект!$A$942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Проект!$G$940:$K$940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Проект!$G$942:$K$942</c:f>
              <c:numCache>
                <c:formatCode>#,##0</c:formatCode>
                <c:ptCount val="5"/>
                <c:pt idx="0">
                  <c:v>563277.86607142841</c:v>
                </c:pt>
                <c:pt idx="1">
                  <c:v>1072809.6542410715</c:v>
                </c:pt>
                <c:pt idx="2">
                  <c:v>1115511.6691517867</c:v>
                </c:pt>
                <c:pt idx="3">
                  <c:v>1426921.6219910737</c:v>
                </c:pt>
                <c:pt idx="4">
                  <c:v>2950793.1510517895</c:v>
                </c:pt>
              </c:numCache>
            </c:numRef>
          </c:val>
        </c:ser>
        <c:ser>
          <c:idx val="1"/>
          <c:order val="1"/>
          <c:tx>
            <c:strRef>
              <c:f>Проект!$A$943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Проект!$G$943:$K$943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Проект!$A$944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Проект!$G$944:$K$944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Проект!$A$945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Проект!$G$945:$K$945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Проект!$A$946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Проект!$G$946:$K$946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Проект!$A$947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Проект!$G$947:$K$947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24108800"/>
        <c:axId val="124110336"/>
      </c:barChart>
      <c:lineChart>
        <c:grouping val="standard"/>
        <c:ser>
          <c:idx val="6"/>
          <c:order val="6"/>
          <c:tx>
            <c:strRef>
              <c:f>Проект!$A$951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Проект!$G$951:$K$951</c:f>
              <c:numCache>
                <c:formatCode>#,##0</c:formatCode>
                <c:ptCount val="5"/>
                <c:pt idx="0">
                  <c:v>874635.00892857125</c:v>
                </c:pt>
                <c:pt idx="1">
                  <c:v>1072809.6542410715</c:v>
                </c:pt>
                <c:pt idx="2">
                  <c:v>1115511.6691517867</c:v>
                </c:pt>
                <c:pt idx="3">
                  <c:v>1426921.6219910737</c:v>
                </c:pt>
                <c:pt idx="4">
                  <c:v>2950793.1510517895</c:v>
                </c:pt>
              </c:numCache>
            </c:numRef>
          </c:val>
        </c:ser>
        <c:marker val="1"/>
        <c:axId val="124108800"/>
        <c:axId val="124110336"/>
      </c:lineChart>
      <c:catAx>
        <c:axId val="124108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110336"/>
        <c:crosses val="autoZero"/>
        <c:auto val="1"/>
        <c:lblAlgn val="ctr"/>
        <c:lblOffset val="100"/>
        <c:tickLblSkip val="1"/>
        <c:tickMarkSkip val="1"/>
      </c:catAx>
      <c:valAx>
        <c:axId val="12411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10880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619047619047623E-2"/>
          <c:y val="0.80523255813953487"/>
          <c:w val="0.87797744031996061"/>
          <c:h val="0.174418604651162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9285776777902837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22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Проект!$A$1028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Проект!$G$1007:$K$1007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Проект!$G$1028:$K$1028</c:f>
              <c:numCache>
                <c:formatCode>#,##0</c:formatCode>
                <c:ptCount val="5"/>
                <c:pt idx="0">
                  <c:v>752772.37142857118</c:v>
                </c:pt>
                <c:pt idx="1">
                  <c:v>874726.33642857149</c:v>
                </c:pt>
                <c:pt idx="2">
                  <c:v>889618.57485714369</c:v>
                </c:pt>
                <c:pt idx="3">
                  <c:v>1140361.0910571448</c:v>
                </c:pt>
                <c:pt idx="4">
                  <c:v>2600293.0749485749</c:v>
                </c:pt>
              </c:numCache>
            </c:numRef>
          </c:val>
        </c:ser>
        <c:axId val="124236544"/>
        <c:axId val="124238080"/>
      </c:barChart>
      <c:catAx>
        <c:axId val="12423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238080"/>
        <c:crosses val="autoZero"/>
        <c:auto val="1"/>
        <c:lblAlgn val="ctr"/>
        <c:lblOffset val="100"/>
        <c:tickLblSkip val="1"/>
        <c:tickMarkSkip val="1"/>
      </c:catAx>
      <c:valAx>
        <c:axId val="124238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23654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66729158855148"/>
          <c:y val="0.91569767441860528"/>
          <c:w val="0.2395836457942757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1398856392950969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10119062324251209"/>
          <c:y val="9.5930232558139567E-2"/>
          <c:w val="0.86160839496197661"/>
          <c:h val="0.79069767441860528"/>
        </c:manualLayout>
      </c:layout>
      <c:lineChart>
        <c:grouping val="standard"/>
        <c:ser>
          <c:idx val="0"/>
          <c:order val="0"/>
          <c:tx>
            <c:strRef>
              <c:f>Проект!$A$1136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Проект!$F$1112:$K$1112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Проект!$F$1136:$K$1136</c:f>
              <c:numCache>
                <c:formatCode>#,##0</c:formatCode>
                <c:ptCount val="6"/>
                <c:pt idx="0">
                  <c:v>0</c:v>
                </c:pt>
                <c:pt idx="1">
                  <c:v>-2087679.9249860763</c:v>
                </c:pt>
                <c:pt idx="2">
                  <c:v>-662349.80986289447</c:v>
                </c:pt>
                <c:pt idx="3">
                  <c:v>193819.97436194366</c:v>
                </c:pt>
                <c:pt idx="4">
                  <c:v>1025098.6096833738</c:v>
                </c:pt>
                <c:pt idx="5">
                  <c:v>1811605.9631587244</c:v>
                </c:pt>
              </c:numCache>
            </c:numRef>
          </c:val>
          <c:smooth val="1"/>
        </c:ser>
        <c:marker val="1"/>
        <c:axId val="124462592"/>
        <c:axId val="124464512"/>
      </c:lineChart>
      <c:catAx>
        <c:axId val="124462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464512"/>
        <c:crosses val="autoZero"/>
        <c:auto val="1"/>
        <c:lblAlgn val="ctr"/>
        <c:lblOffset val="100"/>
        <c:tickLblSkip val="1"/>
        <c:tickMarkSkip val="1"/>
      </c:catAx>
      <c:valAx>
        <c:axId val="12446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46259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94094488189007"/>
          <c:y val="0.91569767441860528"/>
          <c:w val="0.42261967254093236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774</xdr:row>
      <xdr:rowOff>9525</xdr:rowOff>
    </xdr:from>
    <xdr:to>
      <xdr:col>8</xdr:col>
      <xdr:colOff>9525</xdr:colOff>
      <xdr:row>797</xdr:row>
      <xdr:rowOff>0</xdr:rowOff>
    </xdr:to>
    <xdr:graphicFrame macro="">
      <xdr:nvGraphicFramePr>
        <xdr:cNvPr id="200023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799</xdr:row>
      <xdr:rowOff>9525</xdr:rowOff>
    </xdr:from>
    <xdr:to>
      <xdr:col>8</xdr:col>
      <xdr:colOff>9525</xdr:colOff>
      <xdr:row>822</xdr:row>
      <xdr:rowOff>0</xdr:rowOff>
    </xdr:to>
    <xdr:graphicFrame macro="">
      <xdr:nvGraphicFramePr>
        <xdr:cNvPr id="200024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1036</xdr:row>
      <xdr:rowOff>9525</xdr:rowOff>
    </xdr:from>
    <xdr:to>
      <xdr:col>8</xdr:col>
      <xdr:colOff>9525</xdr:colOff>
      <xdr:row>1059</xdr:row>
      <xdr:rowOff>0</xdr:rowOff>
    </xdr:to>
    <xdr:graphicFrame macro="">
      <xdr:nvGraphicFramePr>
        <xdr:cNvPr id="200025" name="Chart 6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1061</xdr:row>
      <xdr:rowOff>9525</xdr:rowOff>
    </xdr:from>
    <xdr:to>
      <xdr:col>8</xdr:col>
      <xdr:colOff>9525</xdr:colOff>
      <xdr:row>1084</xdr:row>
      <xdr:rowOff>0</xdr:rowOff>
    </xdr:to>
    <xdr:graphicFrame macro="">
      <xdr:nvGraphicFramePr>
        <xdr:cNvPr id="200026" name="Chart 6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889</xdr:row>
      <xdr:rowOff>9525</xdr:rowOff>
    </xdr:from>
    <xdr:to>
      <xdr:col>8</xdr:col>
      <xdr:colOff>9525</xdr:colOff>
      <xdr:row>912</xdr:row>
      <xdr:rowOff>0</xdr:rowOff>
    </xdr:to>
    <xdr:graphicFrame macro="">
      <xdr:nvGraphicFramePr>
        <xdr:cNvPr id="200027" name="Chart 6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914</xdr:row>
      <xdr:rowOff>9525</xdr:rowOff>
    </xdr:from>
    <xdr:to>
      <xdr:col>8</xdr:col>
      <xdr:colOff>9525</xdr:colOff>
      <xdr:row>937</xdr:row>
      <xdr:rowOff>0</xdr:rowOff>
    </xdr:to>
    <xdr:graphicFrame macro="">
      <xdr:nvGraphicFramePr>
        <xdr:cNvPr id="200028" name="Chart 6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981</xdr:row>
      <xdr:rowOff>9525</xdr:rowOff>
    </xdr:from>
    <xdr:to>
      <xdr:col>8</xdr:col>
      <xdr:colOff>9525</xdr:colOff>
      <xdr:row>1004</xdr:row>
      <xdr:rowOff>0</xdr:rowOff>
    </xdr:to>
    <xdr:graphicFrame macro="">
      <xdr:nvGraphicFramePr>
        <xdr:cNvPr id="200029" name="Chart 6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1086</xdr:row>
      <xdr:rowOff>9525</xdr:rowOff>
    </xdr:from>
    <xdr:to>
      <xdr:col>8</xdr:col>
      <xdr:colOff>9525</xdr:colOff>
      <xdr:row>1109</xdr:row>
      <xdr:rowOff>0</xdr:rowOff>
    </xdr:to>
    <xdr:graphicFrame macro="">
      <xdr:nvGraphicFramePr>
        <xdr:cNvPr id="200030" name="Chart 6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1155</xdr:row>
      <xdr:rowOff>9525</xdr:rowOff>
    </xdr:from>
    <xdr:to>
      <xdr:col>8</xdr:col>
      <xdr:colOff>9525</xdr:colOff>
      <xdr:row>1178</xdr:row>
      <xdr:rowOff>0</xdr:rowOff>
    </xdr:to>
    <xdr:graphicFrame macro="">
      <xdr:nvGraphicFramePr>
        <xdr:cNvPr id="200031" name="Chart 6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320</xdr:row>
      <xdr:rowOff>9525</xdr:rowOff>
    </xdr:from>
    <xdr:to>
      <xdr:col>8</xdr:col>
      <xdr:colOff>9525</xdr:colOff>
      <xdr:row>343</xdr:row>
      <xdr:rowOff>0</xdr:rowOff>
    </xdr:to>
    <xdr:graphicFrame macro="">
      <xdr:nvGraphicFramePr>
        <xdr:cNvPr id="441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96</xdr:row>
      <xdr:rowOff>9525</xdr:rowOff>
    </xdr:from>
    <xdr:to>
      <xdr:col>8</xdr:col>
      <xdr:colOff>9525</xdr:colOff>
      <xdr:row>119</xdr:row>
      <xdr:rowOff>0</xdr:rowOff>
    </xdr:to>
    <xdr:graphicFrame macro="">
      <xdr:nvGraphicFramePr>
        <xdr:cNvPr id="442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121</xdr:row>
      <xdr:rowOff>9525</xdr:rowOff>
    </xdr:from>
    <xdr:to>
      <xdr:col>8</xdr:col>
      <xdr:colOff>9525</xdr:colOff>
      <xdr:row>144</xdr:row>
      <xdr:rowOff>0</xdr:rowOff>
    </xdr:to>
    <xdr:graphicFrame macro="">
      <xdr:nvGraphicFramePr>
        <xdr:cNvPr id="442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199</xdr:row>
      <xdr:rowOff>9525</xdr:rowOff>
    </xdr:from>
    <xdr:to>
      <xdr:col>8</xdr:col>
      <xdr:colOff>9525</xdr:colOff>
      <xdr:row>222</xdr:row>
      <xdr:rowOff>0</xdr:rowOff>
    </xdr:to>
    <xdr:graphicFrame macro="">
      <xdr:nvGraphicFramePr>
        <xdr:cNvPr id="442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8</xdr:col>
      <xdr:colOff>9525</xdr:colOff>
      <xdr:row>247</xdr:row>
      <xdr:rowOff>0</xdr:rowOff>
    </xdr:to>
    <xdr:graphicFrame macro="">
      <xdr:nvGraphicFramePr>
        <xdr:cNvPr id="442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375</xdr:row>
      <xdr:rowOff>9525</xdr:rowOff>
    </xdr:from>
    <xdr:to>
      <xdr:col>8</xdr:col>
      <xdr:colOff>9525</xdr:colOff>
      <xdr:row>398</xdr:row>
      <xdr:rowOff>0</xdr:rowOff>
    </xdr:to>
    <xdr:graphicFrame macro="">
      <xdr:nvGraphicFramePr>
        <xdr:cNvPr id="442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400</xdr:row>
      <xdr:rowOff>9525</xdr:rowOff>
    </xdr:from>
    <xdr:to>
      <xdr:col>8</xdr:col>
      <xdr:colOff>9525</xdr:colOff>
      <xdr:row>423</xdr:row>
      <xdr:rowOff>0</xdr:rowOff>
    </xdr:to>
    <xdr:graphicFrame macro="">
      <xdr:nvGraphicFramePr>
        <xdr:cNvPr id="442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425</xdr:row>
      <xdr:rowOff>9525</xdr:rowOff>
    </xdr:from>
    <xdr:to>
      <xdr:col>8</xdr:col>
      <xdr:colOff>9525</xdr:colOff>
      <xdr:row>448</xdr:row>
      <xdr:rowOff>0</xdr:rowOff>
    </xdr:to>
    <xdr:graphicFrame macro="">
      <xdr:nvGraphicFramePr>
        <xdr:cNvPr id="4426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492</xdr:row>
      <xdr:rowOff>9525</xdr:rowOff>
    </xdr:from>
    <xdr:to>
      <xdr:col>8</xdr:col>
      <xdr:colOff>9525</xdr:colOff>
      <xdr:row>515</xdr:row>
      <xdr:rowOff>0</xdr:rowOff>
    </xdr:to>
    <xdr:graphicFrame macro="">
      <xdr:nvGraphicFramePr>
        <xdr:cNvPr id="442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8</xdr:col>
      <xdr:colOff>19050</xdr:colOff>
      <xdr:row>47</xdr:row>
      <xdr:rowOff>0</xdr:rowOff>
    </xdr:to>
    <xdr:graphicFrame macro="">
      <xdr:nvGraphicFramePr>
        <xdr:cNvPr id="518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19050</xdr:colOff>
      <xdr:row>84</xdr:row>
      <xdr:rowOff>0</xdr:rowOff>
    </xdr:to>
    <xdr:graphicFrame macro="">
      <xdr:nvGraphicFramePr>
        <xdr:cNvPr id="518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M301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4" width="2" style="1" hidden="1" customWidth="1"/>
    <col min="5" max="5" width="2.1640625" style="1" hidden="1" customWidth="1"/>
    <col min="6" max="11" width="11.83203125" style="1" customWidth="1"/>
    <col min="12" max="12" width="1.66406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OFFSET(Язык!$A$677,0,LANGUAGE)</f>
        <v>Описание компании</v>
      </c>
      <c r="B2" s="6"/>
      <c r="C2" s="6"/>
    </row>
    <row r="4" spans="1:13" s="2" customFormat="1" ht="15.95" customHeight="1">
      <c r="A4" s="126" t="str">
        <f ca="1">OFFSET(Язык!$A$678,0,LANGUAGE)</f>
        <v>ПРОЕКТЫ КОМПАНИИ</v>
      </c>
      <c r="B4" s="127"/>
      <c r="C4" s="127"/>
      <c r="D4" s="126"/>
      <c r="E4" s="128"/>
      <c r="F4" s="120"/>
      <c r="G4" s="120"/>
      <c r="H4" s="120"/>
      <c r="I4" s="120"/>
      <c r="J4" s="120"/>
      <c r="K4" s="120"/>
      <c r="L4" s="120"/>
      <c r="M4" s="84"/>
    </row>
    <row r="5" spans="1:13">
      <c r="A5" s="121"/>
      <c r="B5" s="121"/>
      <c r="C5" s="121"/>
      <c r="D5" s="121"/>
      <c r="E5" s="124"/>
    </row>
    <row r="6" spans="1:13" ht="16.5" customHeight="1">
      <c r="A6" s="121"/>
      <c r="B6" s="121"/>
      <c r="C6" s="121"/>
      <c r="D6" s="121"/>
      <c r="E6" s="124"/>
    </row>
    <row r="7" spans="1:13">
      <c r="A7" s="121"/>
      <c r="B7" s="121"/>
      <c r="C7" s="121"/>
      <c r="D7" s="121"/>
      <c r="E7" s="124"/>
    </row>
    <row r="8" spans="1:13">
      <c r="A8" s="123" t="str">
        <f ca="1">OFFSET(Язык!$A$679,0,LANGUAGE)</f>
        <v>Название проекта</v>
      </c>
      <c r="B8" s="123" t="str">
        <f ca="1">OFFSET(Язык!$A$680,0,LANGUAGE)</f>
        <v>Лист</v>
      </c>
      <c r="C8" s="121"/>
      <c r="D8" s="121">
        <v>1</v>
      </c>
      <c r="E8" s="124"/>
    </row>
    <row r="9" spans="1:13">
      <c r="A9" s="129" t="str">
        <f>Проект!PRJ_Name</f>
        <v>Ресторан восточной кухни</v>
      </c>
      <c r="B9" s="130" t="s">
        <v>159</v>
      </c>
      <c r="C9" s="121"/>
      <c r="D9" s="121"/>
      <c r="E9" s="124"/>
    </row>
    <row r="10" spans="1:13">
      <c r="A10" s="122"/>
      <c r="B10" s="122"/>
      <c r="C10" s="122"/>
      <c r="D10" s="122"/>
      <c r="E10" s="125"/>
    </row>
    <row r="11" spans="1:13" collapsed="1"/>
    <row r="12" spans="1:13" hidden="1" outlineLevel="1">
      <c r="A12" s="223" t="str">
        <f ca="1">OFFSET(Язык!$A$681,0,LANGUAGE)</f>
        <v>Номера периодов</v>
      </c>
      <c r="B12" s="223"/>
      <c r="C12" s="223"/>
      <c r="D12" s="223"/>
      <c r="E12" s="223"/>
      <c r="F12" s="224">
        <v>0</v>
      </c>
      <c r="G12" s="224">
        <v>1</v>
      </c>
      <c r="H12" s="224">
        <v>2</v>
      </c>
      <c r="I12" s="224">
        <v>3</v>
      </c>
      <c r="J12" s="224">
        <v>4</v>
      </c>
      <c r="K12" s="224">
        <v>4</v>
      </c>
    </row>
    <row r="13" spans="1:13" ht="12" thickBot="1"/>
    <row r="14" spans="1:13" s="2" customFormat="1" ht="15.95" customHeight="1" thickTop="1" thickBot="1">
      <c r="A14" s="18" t="str">
        <f ca="1">OFFSET(Язык!$A$682,0,LANGUAGE)</f>
        <v>НАЧАЛЬНЫЙ БАЛАНС</v>
      </c>
      <c r="B14" s="19"/>
      <c r="C14" s="19"/>
      <c r="D14" s="18"/>
      <c r="E14" s="18"/>
      <c r="F14" s="190"/>
      <c r="G14" s="190">
        <f>Проект!G29</f>
        <v>40179</v>
      </c>
      <c r="H14" s="120"/>
      <c r="I14" s="120"/>
      <c r="J14" s="120"/>
      <c r="K14" s="120"/>
      <c r="L14" s="120"/>
      <c r="M14" s="84"/>
    </row>
    <row r="15" spans="1:13" ht="12" outlineLevel="1" thickTop="1"/>
    <row r="16" spans="1:13" outlineLevel="1">
      <c r="A16" s="175" t="str">
        <f ca="1">OFFSET(Язык!$A$683,0,LANGUAGE)</f>
        <v xml:space="preserve">АКТИВ                   </v>
      </c>
      <c r="B16" s="135"/>
      <c r="C16" s="175" t="str">
        <f ca="1">OFFSET(Язык!$A$684,0,LANGUAGE)</f>
        <v xml:space="preserve">Код стр. </v>
      </c>
      <c r="G16" s="175" t="str">
        <f ca="1">CUR_Main</f>
        <v>$</v>
      </c>
    </row>
    <row r="17" spans="1:7" outlineLevel="1">
      <c r="A17" s="132"/>
      <c r="C17" s="132"/>
    </row>
    <row r="18" spans="1:7" outlineLevel="1">
      <c r="A18" s="48" t="str">
        <f ca="1">OFFSET(Язык!$A685,0,LANGUAGE)</f>
        <v>I. ВНЕОБОРОТНЫЕ АКТИВЫ</v>
      </c>
      <c r="C18" s="132"/>
      <c r="F18" s="191"/>
    </row>
    <row r="19" spans="1:7" outlineLevel="1">
      <c r="A19" s="1" t="str">
        <f ca="1">OFFSET(Язык!$A686,0,LANGUAGE)</f>
        <v>Нематериальные активы</v>
      </c>
      <c r="C19" s="132">
        <v>110</v>
      </c>
      <c r="F19" s="192"/>
      <c r="G19" s="178">
        <v>0</v>
      </c>
    </row>
    <row r="20" spans="1:7" outlineLevel="1">
      <c r="A20" s="1" t="str">
        <f ca="1">OFFSET(Язык!$A687,0,LANGUAGE)</f>
        <v>Основные средства</v>
      </c>
      <c r="C20" s="132">
        <v>120</v>
      </c>
      <c r="F20" s="192"/>
      <c r="G20" s="178">
        <v>0</v>
      </c>
    </row>
    <row r="21" spans="1:7" outlineLevel="1">
      <c r="A21" s="1" t="str">
        <f ca="1">OFFSET(Язык!$A688,0,LANGUAGE)</f>
        <v>Незавершенное строительство</v>
      </c>
      <c r="C21" s="132">
        <v>130</v>
      </c>
      <c r="F21" s="192"/>
      <c r="G21" s="178">
        <v>0</v>
      </c>
    </row>
    <row r="22" spans="1:7" outlineLevel="1">
      <c r="A22" s="1" t="str">
        <f ca="1">OFFSET(Язык!$A689,0,LANGUAGE)</f>
        <v>Доходные вложения в материальные ценности</v>
      </c>
      <c r="C22" s="132">
        <v>135</v>
      </c>
      <c r="F22" s="192"/>
      <c r="G22" s="178">
        <v>0</v>
      </c>
    </row>
    <row r="23" spans="1:7" outlineLevel="1">
      <c r="A23" s="1" t="str">
        <f ca="1">OFFSET(Язык!$A690,0,LANGUAGE)</f>
        <v>Долгосрочные финансовые вложения</v>
      </c>
      <c r="C23" s="132">
        <v>140</v>
      </c>
      <c r="F23" s="192"/>
      <c r="G23" s="178">
        <v>0</v>
      </c>
    </row>
    <row r="24" spans="1:7" outlineLevel="1">
      <c r="A24" s="1" t="str">
        <f ca="1">OFFSET(Язык!$A691,0,LANGUAGE)</f>
        <v>Отложенные налоговые активы</v>
      </c>
      <c r="C24" s="132">
        <v>145</v>
      </c>
      <c r="F24" s="192"/>
      <c r="G24" s="178">
        <v>0</v>
      </c>
    </row>
    <row r="25" spans="1:7" outlineLevel="1">
      <c r="A25" s="1" t="str">
        <f ca="1">OFFSET(Язык!$A692,0,LANGUAGE)</f>
        <v>Прочие внеоборотные активы</v>
      </c>
      <c r="C25" s="132">
        <v>150</v>
      </c>
      <c r="F25" s="192"/>
      <c r="G25" s="178">
        <v>0</v>
      </c>
    </row>
    <row r="26" spans="1:7" outlineLevel="1">
      <c r="A26" s="1" t="str">
        <f ca="1">OFFSET(Язык!$A693,0,LANGUAGE)</f>
        <v xml:space="preserve">    ИТОГО по разделу I</v>
      </c>
      <c r="C26" s="132">
        <v>190</v>
      </c>
      <c r="F26" s="192"/>
      <c r="G26" s="134">
        <f>SUM(G19:G25)</f>
        <v>0</v>
      </c>
    </row>
    <row r="27" spans="1:7" outlineLevel="1">
      <c r="A27" s="48" t="str">
        <f ca="1">OFFSET(Язык!$A694,0,LANGUAGE)</f>
        <v>II. ОБОРОТНЫЕ АКТИВЫ</v>
      </c>
      <c r="C27" s="132"/>
      <c r="F27" s="192"/>
      <c r="G27" s="134"/>
    </row>
    <row r="28" spans="1:7" outlineLevel="1">
      <c r="A28" s="1" t="str">
        <f ca="1">OFFSET(Язык!$A695,0,LANGUAGE)</f>
        <v>Запасы</v>
      </c>
      <c r="C28" s="132">
        <v>210</v>
      </c>
      <c r="F28" s="192"/>
      <c r="G28" s="178">
        <v>0</v>
      </c>
    </row>
    <row r="29" spans="1:7" outlineLevel="1">
      <c r="A29" s="1" t="str">
        <f ca="1">OFFSET(Язык!$A696,0,LANGUAGE)</f>
        <v>в том числе:</v>
      </c>
      <c r="C29" s="132"/>
      <c r="F29" s="192"/>
      <c r="G29" s="134"/>
    </row>
    <row r="30" spans="1:7" outlineLevel="1">
      <c r="A30" s="1" t="str">
        <f ca="1">OFFSET(Язык!$A697,0,LANGUAGE)</f>
        <v xml:space="preserve">      сырье, материалы и другие аналогичные ценности</v>
      </c>
      <c r="C30" s="132"/>
      <c r="F30" s="192"/>
      <c r="G30" s="178">
        <v>0</v>
      </c>
    </row>
    <row r="31" spans="1:7" outlineLevel="1">
      <c r="A31" s="1" t="str">
        <f ca="1">OFFSET(Язык!$A698,0,LANGUAGE)</f>
        <v xml:space="preserve">      животные на выращивании и откорме</v>
      </c>
      <c r="C31" s="132"/>
      <c r="F31" s="192"/>
      <c r="G31" s="178">
        <v>0</v>
      </c>
    </row>
    <row r="32" spans="1:7" outlineLevel="1">
      <c r="A32" s="1" t="str">
        <f ca="1">OFFSET(Язык!$A699,0,LANGUAGE)</f>
        <v xml:space="preserve">      затраты в незавершенном производстве</v>
      </c>
      <c r="C32" s="132"/>
      <c r="F32" s="192"/>
      <c r="G32" s="178">
        <v>0</v>
      </c>
    </row>
    <row r="33" spans="1:7" outlineLevel="1">
      <c r="A33" s="1" t="str">
        <f ca="1">OFFSET(Язык!$A700,0,LANGUAGE)</f>
        <v xml:space="preserve">      готовая продукция и товары для перепродажи</v>
      </c>
      <c r="C33" s="132"/>
      <c r="F33" s="192"/>
      <c r="G33" s="178">
        <v>0</v>
      </c>
    </row>
    <row r="34" spans="1:7" outlineLevel="1">
      <c r="A34" s="1" t="str">
        <f ca="1">OFFSET(Язык!$A701,0,LANGUAGE)</f>
        <v xml:space="preserve">      товары отгруженные</v>
      </c>
      <c r="C34" s="132"/>
      <c r="F34" s="192"/>
      <c r="G34" s="178">
        <v>0</v>
      </c>
    </row>
    <row r="35" spans="1:7" outlineLevel="1">
      <c r="A35" s="1" t="str">
        <f ca="1">OFFSET(Язык!$A702,0,LANGUAGE)</f>
        <v xml:space="preserve">      расходы будущих периодов</v>
      </c>
      <c r="C35" s="132"/>
      <c r="F35" s="192"/>
      <c r="G35" s="178">
        <v>0</v>
      </c>
    </row>
    <row r="36" spans="1:7" outlineLevel="1">
      <c r="A36" s="1" t="str">
        <f ca="1">OFFSET(Язык!$A703,0,LANGUAGE)</f>
        <v xml:space="preserve">      прочие запасы и затраты</v>
      </c>
      <c r="C36" s="132"/>
      <c r="F36" s="192"/>
      <c r="G36" s="178">
        <v>0</v>
      </c>
    </row>
    <row r="37" spans="1:7" outlineLevel="1">
      <c r="A37" s="1" t="str">
        <f ca="1">OFFSET(Язык!$A704,0,LANGUAGE)</f>
        <v>Налог на добавленную стоимость по приобретенным ценностям</v>
      </c>
      <c r="C37" s="132">
        <v>220</v>
      </c>
      <c r="F37" s="192"/>
      <c r="G37" s="178">
        <v>0</v>
      </c>
    </row>
    <row r="38" spans="1:7" ht="33.75" outlineLevel="1">
      <c r="A38" s="177" t="str">
        <f ca="1">OFFSET(Язык!$A705,0,LANGUAGE)</f>
        <v>Дебиторская задолженность (платежи по которой ожидаются более чем через 12 месяцев после отчетной даты)</v>
      </c>
      <c r="C38" s="132">
        <v>230</v>
      </c>
      <c r="F38" s="192"/>
      <c r="G38" s="178">
        <v>0</v>
      </c>
    </row>
    <row r="39" spans="1:7" outlineLevel="1">
      <c r="A39" s="1" t="str">
        <f ca="1">OFFSET(Язык!$A706,0,LANGUAGE)</f>
        <v xml:space="preserve">      в том числе покупатели и заказчики</v>
      </c>
      <c r="C39" s="132"/>
      <c r="F39" s="192"/>
      <c r="G39" s="178">
        <v>0</v>
      </c>
    </row>
    <row r="40" spans="1:7" ht="22.5" outlineLevel="1">
      <c r="A40" s="177" t="str">
        <f ca="1">OFFSET(Язык!$A707,0,LANGUAGE)</f>
        <v>Дебиторская задолженность (платежи по которой ожидаются в течение 12 месяцев)</v>
      </c>
      <c r="C40" s="132">
        <v>240</v>
      </c>
      <c r="F40" s="192"/>
      <c r="G40" s="178">
        <v>0</v>
      </c>
    </row>
    <row r="41" spans="1:7" outlineLevel="1">
      <c r="A41" s="1" t="str">
        <f ca="1">OFFSET(Язык!$A708,0,LANGUAGE)</f>
        <v xml:space="preserve">      в том числе покупатели и заказчики</v>
      </c>
      <c r="C41" s="132"/>
      <c r="F41" s="192"/>
      <c r="G41" s="178">
        <v>0</v>
      </c>
    </row>
    <row r="42" spans="1:7" outlineLevel="1">
      <c r="A42" s="1" t="str">
        <f ca="1">OFFSET(Язык!$A709,0,LANGUAGE)</f>
        <v>Краткосрочные финансовые вложения</v>
      </c>
      <c r="C42" s="132">
        <v>250</v>
      </c>
      <c r="F42" s="192"/>
      <c r="G42" s="178">
        <v>0</v>
      </c>
    </row>
    <row r="43" spans="1:7" outlineLevel="1">
      <c r="A43" s="1" t="str">
        <f ca="1">OFFSET(Язык!$A710,0,LANGUAGE)</f>
        <v>Денежные средства</v>
      </c>
      <c r="C43" s="132">
        <v>260</v>
      </c>
      <c r="F43" s="192"/>
      <c r="G43" s="178">
        <v>0</v>
      </c>
    </row>
    <row r="44" spans="1:7" outlineLevel="1">
      <c r="A44" s="1" t="str">
        <f ca="1">OFFSET(Язык!$A711,0,LANGUAGE)</f>
        <v>Прочие оборотные активы</v>
      </c>
      <c r="C44" s="132">
        <v>270</v>
      </c>
      <c r="F44" s="192"/>
      <c r="G44" s="178">
        <v>0</v>
      </c>
    </row>
    <row r="45" spans="1:7" outlineLevel="1">
      <c r="A45" s="1" t="str">
        <f ca="1">OFFSET(Язык!$A712,0,LANGUAGE)</f>
        <v xml:space="preserve">      ИТОГО по разделу II</v>
      </c>
      <c r="C45" s="132">
        <v>290</v>
      </c>
      <c r="F45" s="192"/>
      <c r="G45" s="134">
        <f>G28+G37+G38+G40+G42+G43+G44</f>
        <v>0</v>
      </c>
    </row>
    <row r="46" spans="1:7" outlineLevel="1">
      <c r="A46" s="174" t="str">
        <f ca="1">OFFSET(Язык!$A713,0,LANGUAGE)</f>
        <v>БАЛАНС</v>
      </c>
      <c r="B46" s="170"/>
      <c r="C46" s="173">
        <v>300</v>
      </c>
      <c r="D46" s="170"/>
      <c r="E46" s="170"/>
      <c r="F46" s="193"/>
      <c r="G46" s="176">
        <f>G26+G45</f>
        <v>0</v>
      </c>
    </row>
    <row r="47" spans="1:7" outlineLevel="1">
      <c r="C47" s="132"/>
      <c r="F47" s="192"/>
      <c r="G47" s="134"/>
    </row>
    <row r="48" spans="1:7" outlineLevel="1">
      <c r="A48" s="135" t="str">
        <f ca="1">OFFSET(Язык!$A714,0,LANGUAGE)</f>
        <v>ПАССИВ</v>
      </c>
      <c r="B48" s="135"/>
      <c r="C48" s="175" t="s">
        <v>1780</v>
      </c>
      <c r="F48" s="192"/>
      <c r="G48" s="175" t="str">
        <f ca="1">CUR_Main</f>
        <v>$</v>
      </c>
    </row>
    <row r="49" spans="1:7" outlineLevel="1">
      <c r="C49" s="132"/>
      <c r="F49" s="192"/>
      <c r="G49" s="134"/>
    </row>
    <row r="50" spans="1:7" outlineLevel="1">
      <c r="A50" s="48" t="str">
        <f ca="1">OFFSET(Язык!$A715,0,LANGUAGE)</f>
        <v>III. КАПИТАЛ И РЕЗЕРВЫ</v>
      </c>
      <c r="C50" s="132"/>
      <c r="F50" s="192"/>
      <c r="G50" s="134"/>
    </row>
    <row r="51" spans="1:7" outlineLevel="1">
      <c r="A51" s="1" t="str">
        <f ca="1">OFFSET(Язык!$A716,0,LANGUAGE)</f>
        <v>Уставный капитал</v>
      </c>
      <c r="C51" s="132">
        <v>410</v>
      </c>
      <c r="F51" s="192"/>
      <c r="G51" s="178">
        <v>0</v>
      </c>
    </row>
    <row r="52" spans="1:7" outlineLevel="1">
      <c r="A52" s="1" t="str">
        <f ca="1">OFFSET(Язык!$A717,0,LANGUAGE)</f>
        <v>Собственные акции, выкупленные у акционеров</v>
      </c>
      <c r="C52" s="132"/>
      <c r="F52" s="192"/>
      <c r="G52" s="178">
        <v>0</v>
      </c>
    </row>
    <row r="53" spans="1:7" outlineLevel="1">
      <c r="A53" s="1" t="str">
        <f ca="1">OFFSET(Язык!$A718,0,LANGUAGE)</f>
        <v>Добавочный капитал</v>
      </c>
      <c r="C53" s="132">
        <v>420</v>
      </c>
      <c r="F53" s="192"/>
      <c r="G53" s="178">
        <v>0</v>
      </c>
    </row>
    <row r="54" spans="1:7" outlineLevel="1">
      <c r="A54" s="1" t="str">
        <f ca="1">OFFSET(Язык!$A719,0,LANGUAGE)</f>
        <v>Резервный капитал</v>
      </c>
      <c r="C54" s="132">
        <v>430</v>
      </c>
      <c r="F54" s="192"/>
      <c r="G54" s="178">
        <v>0</v>
      </c>
    </row>
    <row r="55" spans="1:7" outlineLevel="1">
      <c r="A55" s="1" t="str">
        <f ca="1">OFFSET(Язык!$A720,0,LANGUAGE)</f>
        <v>в том числе:</v>
      </c>
      <c r="C55" s="132"/>
      <c r="F55" s="192"/>
      <c r="G55" s="178">
        <v>0</v>
      </c>
    </row>
    <row r="56" spans="1:7" ht="22.5" outlineLevel="1">
      <c r="A56" s="177" t="str">
        <f ca="1">OFFSET(Язык!$A721,0,LANGUAGE)</f>
        <v xml:space="preserve">      резервы, образованные в соответствии с законодательством</v>
      </c>
      <c r="C56" s="132"/>
      <c r="F56" s="192"/>
      <c r="G56" s="178">
        <v>0</v>
      </c>
    </row>
    <row r="57" spans="1:7" ht="22.5" outlineLevel="1">
      <c r="A57" s="177" t="str">
        <f ca="1">OFFSET(Язык!$A722,0,LANGUAGE)</f>
        <v xml:space="preserve">      резервы, образованные в соответствии с учредительными документами</v>
      </c>
      <c r="C57" s="132"/>
      <c r="F57" s="192"/>
      <c r="G57" s="178">
        <v>0</v>
      </c>
    </row>
    <row r="58" spans="1:7" outlineLevel="1">
      <c r="A58" s="1" t="str">
        <f ca="1">OFFSET(Язык!$A723,0,LANGUAGE)</f>
        <v>Нераспределенная прибыль (непокрытый убыток)</v>
      </c>
      <c r="C58" s="132">
        <v>470</v>
      </c>
      <c r="F58" s="192"/>
      <c r="G58" s="178">
        <v>0</v>
      </c>
    </row>
    <row r="59" spans="1:7" outlineLevel="1">
      <c r="A59" s="1" t="str">
        <f ca="1">OFFSET(Язык!$A724,0,LANGUAGE)</f>
        <v xml:space="preserve">      ИТОГО по разделу III</v>
      </c>
      <c r="C59" s="132">
        <v>490</v>
      </c>
      <c r="F59" s="192"/>
      <c r="G59" s="134">
        <f>G51+G52+G53+G54+G58</f>
        <v>0</v>
      </c>
    </row>
    <row r="60" spans="1:7" outlineLevel="1">
      <c r="A60" s="48" t="str">
        <f ca="1">OFFSET(Язык!$A725,0,LANGUAGE)</f>
        <v>IV. ДОЛГОСРОЧНЫЕ ОБЯЗАТЕЛЬСТВА</v>
      </c>
      <c r="C60" s="132"/>
      <c r="F60" s="192"/>
      <c r="G60" s="134"/>
    </row>
    <row r="61" spans="1:7" outlineLevel="1">
      <c r="A61" s="1" t="str">
        <f ca="1">OFFSET(Язык!$A726,0,LANGUAGE)</f>
        <v>Займы и кредиты</v>
      </c>
      <c r="C61" s="132">
        <v>510</v>
      </c>
      <c r="F61" s="192"/>
      <c r="G61" s="178">
        <v>0</v>
      </c>
    </row>
    <row r="62" spans="1:7" outlineLevel="1">
      <c r="A62" s="1" t="str">
        <f ca="1">OFFSET(Язык!$A727,0,LANGUAGE)</f>
        <v>Отложенные налоговые обязательства</v>
      </c>
      <c r="C62" s="132">
        <v>515</v>
      </c>
      <c r="F62" s="192"/>
      <c r="G62" s="178">
        <v>0</v>
      </c>
    </row>
    <row r="63" spans="1:7" outlineLevel="1">
      <c r="A63" s="1" t="str">
        <f ca="1">OFFSET(Язык!$A728,0,LANGUAGE)</f>
        <v>Прочие долгосрочные обязательства</v>
      </c>
      <c r="C63" s="132">
        <v>520</v>
      </c>
      <c r="F63" s="192"/>
      <c r="G63" s="178">
        <v>0</v>
      </c>
    </row>
    <row r="64" spans="1:7" outlineLevel="1">
      <c r="A64" s="1" t="str">
        <f ca="1">OFFSET(Язык!$A729,0,LANGUAGE)</f>
        <v xml:space="preserve">      ИТОГО по разделу IV</v>
      </c>
      <c r="C64" s="132">
        <v>590</v>
      </c>
      <c r="F64" s="192"/>
      <c r="G64" s="134">
        <f>SUM(G61:G63)</f>
        <v>0</v>
      </c>
    </row>
    <row r="65" spans="1:7" outlineLevel="1">
      <c r="A65" s="48" t="str">
        <f ca="1">OFFSET(Язык!$A730,0,LANGUAGE)</f>
        <v>V. КРАТКОСРОЧНЫЕ ОБЯЗАТЕЛЬСТВА</v>
      </c>
      <c r="C65" s="132"/>
      <c r="F65" s="192"/>
      <c r="G65" s="134"/>
    </row>
    <row r="66" spans="1:7" outlineLevel="1">
      <c r="A66" s="1" t="str">
        <f ca="1">OFFSET(Язык!$A731,0,LANGUAGE)</f>
        <v>Займы и кредиты</v>
      </c>
      <c r="C66" s="132">
        <v>610</v>
      </c>
      <c r="F66" s="192"/>
      <c r="G66" s="178">
        <v>0</v>
      </c>
    </row>
    <row r="67" spans="1:7" outlineLevel="1">
      <c r="A67" s="1" t="str">
        <f ca="1">OFFSET(Язык!$A732,0,LANGUAGE)</f>
        <v>Кредиторская задолженность</v>
      </c>
      <c r="C67" s="132">
        <v>620</v>
      </c>
      <c r="F67" s="192"/>
      <c r="G67" s="178">
        <v>0</v>
      </c>
    </row>
    <row r="68" spans="1:7" outlineLevel="1">
      <c r="A68" s="1" t="str">
        <f ca="1">OFFSET(Язык!$A733,0,LANGUAGE)</f>
        <v>в том числе:</v>
      </c>
      <c r="C68" s="132"/>
      <c r="F68" s="192"/>
      <c r="G68" s="134"/>
    </row>
    <row r="69" spans="1:7" outlineLevel="1">
      <c r="A69" s="1" t="str">
        <f ca="1">OFFSET(Язык!$A734,0,LANGUAGE)</f>
        <v xml:space="preserve">      поставщики и подрядчики</v>
      </c>
      <c r="C69" s="132"/>
      <c r="F69" s="192"/>
      <c r="G69" s="178">
        <v>0</v>
      </c>
    </row>
    <row r="70" spans="1:7" outlineLevel="1">
      <c r="A70" s="1" t="str">
        <f ca="1">OFFSET(Язык!$A735,0,LANGUAGE)</f>
        <v xml:space="preserve">      задолженность перед персоналом организации</v>
      </c>
      <c r="C70" s="132"/>
      <c r="F70" s="192"/>
      <c r="G70" s="178">
        <v>0</v>
      </c>
    </row>
    <row r="71" spans="1:7" outlineLevel="1">
      <c r="A71" s="1" t="str">
        <f ca="1">OFFSET(Язык!$A736,0,LANGUAGE)</f>
        <v xml:space="preserve">      задолженность перед гос. внебюджетными фондами</v>
      </c>
      <c r="C71" s="132"/>
      <c r="F71" s="192"/>
      <c r="G71" s="178">
        <v>0</v>
      </c>
    </row>
    <row r="72" spans="1:7" outlineLevel="1">
      <c r="A72" s="1" t="str">
        <f ca="1">OFFSET(Язык!$A737,0,LANGUAGE)</f>
        <v xml:space="preserve">      задолженность по налогам и сборам</v>
      </c>
      <c r="C72" s="132"/>
      <c r="F72" s="192"/>
      <c r="G72" s="178">
        <v>0</v>
      </c>
    </row>
    <row r="73" spans="1:7" outlineLevel="1">
      <c r="A73" s="1" t="str">
        <f ca="1">OFFSET(Язык!$A738,0,LANGUAGE)</f>
        <v xml:space="preserve">      прочие кредиторы</v>
      </c>
      <c r="C73" s="132"/>
      <c r="F73" s="192"/>
      <c r="G73" s="178">
        <v>0</v>
      </c>
    </row>
    <row r="74" spans="1:7" ht="22.5" outlineLevel="1">
      <c r="A74" s="177" t="str">
        <f ca="1">OFFSET(Язык!$A739,0,LANGUAGE)</f>
        <v>Задолженность перед участниками (учредителями) по выплате доходов</v>
      </c>
      <c r="C74" s="132">
        <v>630</v>
      </c>
      <c r="F74" s="192"/>
      <c r="G74" s="178">
        <v>0</v>
      </c>
    </row>
    <row r="75" spans="1:7" outlineLevel="1">
      <c r="A75" s="1" t="str">
        <f ca="1">OFFSET(Язык!$A740,0,LANGUAGE)</f>
        <v>Доходы будущих периодов</v>
      </c>
      <c r="C75" s="132">
        <v>640</v>
      </c>
      <c r="F75" s="192"/>
      <c r="G75" s="178">
        <v>0</v>
      </c>
    </row>
    <row r="76" spans="1:7" outlineLevel="1">
      <c r="A76" s="1" t="str">
        <f ca="1">OFFSET(Язык!$A741,0,LANGUAGE)</f>
        <v>Резервы предстоящих расходов</v>
      </c>
      <c r="C76" s="132">
        <v>650</v>
      </c>
      <c r="F76" s="192"/>
      <c r="G76" s="178">
        <v>0</v>
      </c>
    </row>
    <row r="77" spans="1:7" outlineLevel="1">
      <c r="A77" s="1" t="str">
        <f ca="1">OFFSET(Язык!$A742,0,LANGUAGE)</f>
        <v>Прочие краткосрочные обязательства</v>
      </c>
      <c r="C77" s="132">
        <v>660</v>
      </c>
      <c r="F77" s="192"/>
      <c r="G77" s="178">
        <v>0</v>
      </c>
    </row>
    <row r="78" spans="1:7" outlineLevel="1">
      <c r="A78" s="48" t="str">
        <f ca="1">OFFSET(Язык!$A743,0,LANGUAGE)</f>
        <v xml:space="preserve">      ИТОГО по разделу V</v>
      </c>
      <c r="C78" s="132">
        <v>690</v>
      </c>
      <c r="F78" s="192"/>
      <c r="G78" s="134">
        <f>G66+G67+G74+G75+G76+G77</f>
        <v>0</v>
      </c>
    </row>
    <row r="79" spans="1:7" outlineLevel="1">
      <c r="A79" s="174" t="str">
        <f ca="1">OFFSET(Язык!$A744,0,LANGUAGE)</f>
        <v>БАЛАНС</v>
      </c>
      <c r="B79" s="170"/>
      <c r="C79" s="173">
        <v>700</v>
      </c>
      <c r="D79" s="170"/>
      <c r="E79" s="170"/>
      <c r="F79" s="193"/>
      <c r="G79" s="176">
        <f>G59+G64+G78</f>
        <v>0</v>
      </c>
    </row>
    <row r="80" spans="1:7" outlineLevel="1"/>
    <row r="81" spans="1:13" ht="12" outlineLevel="1" thickBot="1"/>
    <row r="82" spans="1:13" s="2" customFormat="1" ht="15.95" customHeight="1" thickTop="1" thickBot="1">
      <c r="A82" s="18" t="str">
        <f ca="1">OFFSET(Язык!$A745,0,LANGUAGE)</f>
        <v>НАЧАЛЬНЫЙ ОТЧЕТ О ПРИБЫЛЯХ И УБЫТКАХ</v>
      </c>
      <c r="B82" s="19"/>
      <c r="C82" s="19"/>
      <c r="D82" s="18"/>
      <c r="E82" s="18"/>
      <c r="F82" s="190">
        <f>DATE(YEAR(G82),MONTH(G82)-PRJ_Step/30,1)</f>
        <v>39814</v>
      </c>
      <c r="G82" s="190">
        <f>Проект!G29</f>
        <v>40179</v>
      </c>
      <c r="H82" s="190" t="str">
        <f ca="1">OFFSET(Язык!$A836,0,LANGUAGE)</f>
        <v>за период</v>
      </c>
      <c r="I82" s="120"/>
      <c r="J82" s="120"/>
      <c r="K82" s="120"/>
      <c r="L82" s="120"/>
      <c r="M82" s="84"/>
    </row>
    <row r="83" spans="1:13" ht="12" outlineLevel="1" thickTop="1"/>
    <row r="84" spans="1:13" outlineLevel="1">
      <c r="A84" s="48" t="str">
        <f ca="1">OFFSET(Язык!$A746,0,LANGUAGE)</f>
        <v>Доходы и расходы по обычным видам деятельности</v>
      </c>
      <c r="F84" s="175" t="str">
        <f ca="1">CUR_Main</f>
        <v>$</v>
      </c>
      <c r="G84" s="175" t="str">
        <f ca="1">CUR_Main</f>
        <v>$</v>
      </c>
      <c r="H84" s="175" t="str">
        <f ca="1">CUR_Main</f>
        <v>$</v>
      </c>
    </row>
    <row r="85" spans="1:13" ht="33.75" outlineLevel="1">
      <c r="A85" s="177" t="str">
        <f ca="1">OFFSET(Язык!$A747,0,LANGUAGE)</f>
        <v>Выpучка (нетто) от продажи товаров, пpодукции, работ, услуг (за минусом НДС, акцизов и аналогичных обязательных платежей)</v>
      </c>
      <c r="F85" s="178">
        <v>0</v>
      </c>
      <c r="G85" s="178">
        <v>0</v>
      </c>
      <c r="H85" s="194">
        <f>IF(MONTH(F$82)=1,G85,G85-F85)</f>
        <v>0</v>
      </c>
    </row>
    <row r="86" spans="1:13" ht="22.5" outlineLevel="1">
      <c r="A86" s="177" t="str">
        <f ca="1">OFFSET(Язык!$A748,0,LANGUAGE)</f>
        <v>Себестоимость проданных товаров, продукции, работ, услуг</v>
      </c>
      <c r="F86" s="178">
        <v>0</v>
      </c>
      <c r="G86" s="178">
        <v>0</v>
      </c>
      <c r="H86" s="194">
        <f t="shared" ref="H86:H103" si="0">IF(MONTH(F$82)=1,G86,G86-F86)</f>
        <v>0</v>
      </c>
    </row>
    <row r="87" spans="1:13" outlineLevel="1">
      <c r="A87" s="174" t="str">
        <f ca="1">OFFSET(Язык!$A749,0,LANGUAGE)</f>
        <v>Валовая прибыль</v>
      </c>
      <c r="B87" s="170"/>
      <c r="C87" s="170"/>
      <c r="D87" s="170"/>
      <c r="E87" s="170"/>
      <c r="F87" s="176">
        <f>F85-F86</f>
        <v>0</v>
      </c>
      <c r="G87" s="176">
        <f>G85-G86</f>
        <v>0</v>
      </c>
      <c r="H87" s="195">
        <f t="shared" si="0"/>
        <v>0</v>
      </c>
    </row>
    <row r="88" spans="1:13" outlineLevel="1">
      <c r="A88" s="1" t="str">
        <f ca="1">OFFSET(Язык!$A750,0,LANGUAGE)</f>
        <v>Коммерческие расходы</v>
      </c>
      <c r="F88" s="178">
        <v>0</v>
      </c>
      <c r="G88" s="178">
        <v>0</v>
      </c>
      <c r="H88" s="194">
        <f t="shared" si="0"/>
        <v>0</v>
      </c>
    </row>
    <row r="89" spans="1:13" outlineLevel="1">
      <c r="A89" s="1" t="str">
        <f ca="1">OFFSET(Язык!$A751,0,LANGUAGE)</f>
        <v>Управленческие расходы</v>
      </c>
      <c r="F89" s="178">
        <v>0</v>
      </c>
      <c r="G89" s="178">
        <v>0</v>
      </c>
      <c r="H89" s="194">
        <f t="shared" si="0"/>
        <v>0</v>
      </c>
    </row>
    <row r="90" spans="1:13" outlineLevel="1">
      <c r="A90" s="174" t="str">
        <f ca="1">OFFSET(Язык!$A752,0,LANGUAGE)</f>
        <v>Прибыль (убыток) от продаж</v>
      </c>
      <c r="B90" s="170"/>
      <c r="C90" s="170"/>
      <c r="D90" s="170"/>
      <c r="E90" s="170"/>
      <c r="F90" s="176">
        <f>F87-F88-F89</f>
        <v>0</v>
      </c>
      <c r="G90" s="176">
        <f>G87-G88-G89</f>
        <v>0</v>
      </c>
      <c r="H90" s="195">
        <f t="shared" si="0"/>
        <v>0</v>
      </c>
    </row>
    <row r="91" spans="1:13" outlineLevel="1">
      <c r="A91" s="1" t="str">
        <f ca="1">OFFSET(Язык!$A753,0,LANGUAGE)</f>
        <v>Прочие доходы и расходы</v>
      </c>
      <c r="F91" s="178">
        <v>0</v>
      </c>
      <c r="G91" s="178">
        <v>0</v>
      </c>
      <c r="H91" s="194">
        <f t="shared" si="0"/>
        <v>0</v>
      </c>
    </row>
    <row r="92" spans="1:13" outlineLevel="1">
      <c r="A92" s="1" t="str">
        <f ca="1">OFFSET(Язык!$A754,0,LANGUAGE)</f>
        <v>Проценты к получению</v>
      </c>
      <c r="F92" s="178">
        <v>0</v>
      </c>
      <c r="G92" s="178">
        <v>0</v>
      </c>
      <c r="H92" s="194">
        <f t="shared" si="0"/>
        <v>0</v>
      </c>
    </row>
    <row r="93" spans="1:13" outlineLevel="1">
      <c r="A93" s="1" t="str">
        <f ca="1">OFFSET(Язык!$A755,0,LANGUAGE)</f>
        <v>Проценты к уплате</v>
      </c>
      <c r="F93" s="178">
        <v>0</v>
      </c>
      <c r="G93" s="178">
        <v>0</v>
      </c>
      <c r="H93" s="194">
        <f t="shared" si="0"/>
        <v>0</v>
      </c>
    </row>
    <row r="94" spans="1:13" outlineLevel="1">
      <c r="A94" s="1" t="str">
        <f ca="1">OFFSET(Язык!$A756,0,LANGUAGE)</f>
        <v>Доходы от участия в других организациях</v>
      </c>
      <c r="F94" s="178">
        <v>0</v>
      </c>
      <c r="G94" s="178">
        <v>0</v>
      </c>
      <c r="H94" s="194">
        <f t="shared" si="0"/>
        <v>0</v>
      </c>
    </row>
    <row r="95" spans="1:13" outlineLevel="1">
      <c r="A95" s="1" t="str">
        <f ca="1">OFFSET(Язык!$A757,0,LANGUAGE)</f>
        <v>Прочие операционные доходы</v>
      </c>
      <c r="F95" s="178">
        <v>0</v>
      </c>
      <c r="G95" s="178">
        <v>0</v>
      </c>
      <c r="H95" s="194">
        <f t="shared" si="0"/>
        <v>0</v>
      </c>
    </row>
    <row r="96" spans="1:13" outlineLevel="1">
      <c r="A96" s="1" t="str">
        <f ca="1">OFFSET(Язык!$A758,0,LANGUAGE)</f>
        <v>Прочие операционные расходы</v>
      </c>
      <c r="F96" s="178">
        <v>0</v>
      </c>
      <c r="G96" s="178">
        <v>0</v>
      </c>
      <c r="H96" s="194">
        <f t="shared" si="0"/>
        <v>0</v>
      </c>
    </row>
    <row r="97" spans="1:13" outlineLevel="1">
      <c r="A97" s="1" t="str">
        <f ca="1">OFFSET(Язык!$A759,0,LANGUAGE)</f>
        <v>Внереализационные доходы</v>
      </c>
      <c r="F97" s="178">
        <v>0</v>
      </c>
      <c r="G97" s="178">
        <v>0</v>
      </c>
      <c r="H97" s="194">
        <f t="shared" si="0"/>
        <v>0</v>
      </c>
    </row>
    <row r="98" spans="1:13" outlineLevel="1">
      <c r="A98" s="1" t="str">
        <f ca="1">OFFSET(Язык!$A760,0,LANGUAGE)</f>
        <v>Внереализационные расходы</v>
      </c>
      <c r="F98" s="178">
        <v>0</v>
      </c>
      <c r="G98" s="178">
        <v>0</v>
      </c>
      <c r="H98" s="194">
        <f t="shared" si="0"/>
        <v>0</v>
      </c>
    </row>
    <row r="99" spans="1:13" outlineLevel="1">
      <c r="A99" s="174" t="str">
        <f ca="1">OFFSET(Язык!$A761,0,LANGUAGE)</f>
        <v>Прибыль (убыток) до налогообложения</v>
      </c>
      <c r="B99" s="170"/>
      <c r="C99" s="170"/>
      <c r="D99" s="170"/>
      <c r="E99" s="170"/>
      <c r="F99" s="176">
        <f>F90+F92-F93+F94+F95-F96+F97-F98</f>
        <v>0</v>
      </c>
      <c r="G99" s="176">
        <f>G90+G92-G93+G94+G95-G96+G97-G98</f>
        <v>0</v>
      </c>
      <c r="H99" s="195">
        <f t="shared" si="0"/>
        <v>0</v>
      </c>
    </row>
    <row r="100" spans="1:13" outlineLevel="1">
      <c r="A100" s="1" t="str">
        <f ca="1">OFFSET(Язык!$A762,0,LANGUAGE)</f>
        <v>Отложенные налоговые активы</v>
      </c>
      <c r="F100" s="178">
        <v>0</v>
      </c>
      <c r="G100" s="178">
        <v>0</v>
      </c>
      <c r="H100" s="194">
        <f t="shared" si="0"/>
        <v>0</v>
      </c>
    </row>
    <row r="101" spans="1:13" outlineLevel="1">
      <c r="A101" s="1" t="str">
        <f ca="1">OFFSET(Язык!$A763,0,LANGUAGE)</f>
        <v>Отложенные налоговые обязательства</v>
      </c>
      <c r="F101" s="178">
        <v>0</v>
      </c>
      <c r="G101" s="178">
        <v>0</v>
      </c>
      <c r="H101" s="194">
        <f t="shared" si="0"/>
        <v>0</v>
      </c>
    </row>
    <row r="102" spans="1:13" outlineLevel="1">
      <c r="A102" s="1" t="str">
        <f ca="1">OFFSET(Язык!$A764,0,LANGUAGE)</f>
        <v>Текущий налог на прибыль</v>
      </c>
      <c r="F102" s="178">
        <v>0</v>
      </c>
      <c r="G102" s="178">
        <v>0</v>
      </c>
      <c r="H102" s="194">
        <f t="shared" si="0"/>
        <v>0</v>
      </c>
    </row>
    <row r="103" spans="1:13" outlineLevel="1">
      <c r="A103" s="174" t="str">
        <f ca="1">OFFSET(Язык!$A765,0,LANGUAGE)</f>
        <v>Чистая прибыль (убыток) отчетного периода</v>
      </c>
      <c r="B103" s="170"/>
      <c r="C103" s="170"/>
      <c r="D103" s="170"/>
      <c r="E103" s="170"/>
      <c r="F103" s="176">
        <f>F99+F100-F101-F102</f>
        <v>0</v>
      </c>
      <c r="G103" s="176">
        <f>G99+G100-G101-G102</f>
        <v>0</v>
      </c>
      <c r="H103" s="195">
        <f t="shared" si="0"/>
        <v>0</v>
      </c>
    </row>
    <row r="104" spans="1:13" outlineLevel="1"/>
    <row r="105" spans="1:13" ht="12" outlineLevel="1" thickBot="1"/>
    <row r="106" spans="1:13" s="2" customFormat="1" ht="15.95" customHeight="1" thickTop="1" thickBot="1">
      <c r="A106" s="18" t="str">
        <f ca="1">OFFSET(Язык!$A766,0,LANGUAGE)</f>
        <v>ПРОГНОЗ ИЗМЕНЕНИЙ В ДЕЯТЕЛЬНОСТИ (БЕЗ УЧЕТА ПРОЕКТОВ)</v>
      </c>
      <c r="B106" s="19"/>
      <c r="C106" s="19"/>
      <c r="D106" s="18"/>
      <c r="E106" s="18"/>
      <c r="F106" s="190">
        <f>Проект!G29</f>
        <v>40179</v>
      </c>
      <c r="G106" s="19">
        <f t="shared" ref="G106:K106" si="1">PeriodTitle</f>
        <v>2013</v>
      </c>
      <c r="H106" s="19">
        <f t="shared" si="1"/>
        <v>2014</v>
      </c>
      <c r="I106" s="19">
        <f t="shared" si="1"/>
        <v>2015</v>
      </c>
      <c r="J106" s="19">
        <f t="shared" si="1"/>
        <v>2016</v>
      </c>
      <c r="K106" s="19">
        <f t="shared" si="1"/>
        <v>2017</v>
      </c>
      <c r="L106" s="19"/>
      <c r="M106" s="23" t="str">
        <f ca="1">OFFSET(Язык!$A$77,0,LANGUAGE)</f>
        <v>ИТОГО</v>
      </c>
    </row>
    <row r="107" spans="1:13" ht="12" outlineLevel="1" thickTop="1"/>
    <row r="108" spans="1:13" outlineLevel="1">
      <c r="A108" s="11" t="str">
        <f ca="1">OFFSET(Язык!$A$51,0,LANGUAGE)</f>
        <v>Метод расчета</v>
      </c>
      <c r="B108" s="33" t="str">
        <f ca="1">OFFSET(Язык!$A$68,F108-1,LANGUAGE)</f>
        <v>Текущие цены</v>
      </c>
      <c r="C108" s="12"/>
      <c r="D108" s="11" t="s">
        <v>1735</v>
      </c>
      <c r="E108" s="11"/>
      <c r="F108" s="14">
        <v>2</v>
      </c>
      <c r="G108" s="13" t="str">
        <f ca="1">OFFSET(Язык!$A$70,F108-1,LANGUAGE)</f>
        <v>(инфляция учитывается)</v>
      </c>
    </row>
    <row r="109" spans="1:13" outlineLevel="1"/>
    <row r="110" spans="1:13" outlineLevel="1">
      <c r="A110" s="1" t="str">
        <f ca="1">OFFSET(Язык!$A767,0,LANGUAGE)</f>
        <v>Рост продаж в % к предыдущему периоду (без учета инфляции)</v>
      </c>
      <c r="C110" s="132" t="s">
        <v>385</v>
      </c>
      <c r="D110" s="1" t="s">
        <v>1315</v>
      </c>
      <c r="G110" s="181">
        <v>0</v>
      </c>
      <c r="H110" s="181">
        <f t="shared" ref="H110:K110" si="2">G110</f>
        <v>0</v>
      </c>
      <c r="I110" s="181">
        <f t="shared" si="2"/>
        <v>0</v>
      </c>
      <c r="J110" s="181">
        <f t="shared" si="2"/>
        <v>0</v>
      </c>
      <c r="K110" s="181">
        <f t="shared" si="2"/>
        <v>0</v>
      </c>
      <c r="L110" s="182"/>
      <c r="M110" s="183"/>
    </row>
    <row r="111" spans="1:13" outlineLevel="1">
      <c r="A111" s="1" t="str">
        <f ca="1">OFFSET(Язык!$A768,0,LANGUAGE)</f>
        <v>Темпы прироста цен в следствии инфляции</v>
      </c>
      <c r="C111" s="132" t="s">
        <v>385</v>
      </c>
      <c r="D111" s="1" t="s">
        <v>1315</v>
      </c>
      <c r="G111" s="180">
        <f>IF($F108=2,Проект!G92*Компания!G112+Проект!G102*(1-Компания!G112),0)</f>
        <v>0.10000000000000009</v>
      </c>
      <c r="H111" s="180">
        <f>IF($F108=2,Проект!H92*Компания!H112+Проект!H102*(1-Компания!H112),0)</f>
        <v>0.10000000000000009</v>
      </c>
      <c r="I111" s="180">
        <f>IF($F108=2,Проект!I92*Компания!I112+Проект!I102*(1-Компания!I112),0)</f>
        <v>0.10000000000000009</v>
      </c>
      <c r="J111" s="180">
        <f>IF($F108=2,Проект!J92*Компания!J112+Проект!J102*(1-Компания!J112),0)</f>
        <v>0.10000000000000009</v>
      </c>
      <c r="K111" s="180">
        <f>IF($F108=2,Проект!K92*Компания!K112+Проект!K102*(1-Компания!K112),0)</f>
        <v>0.10000000000000009</v>
      </c>
      <c r="L111" s="182"/>
      <c r="M111" s="183"/>
    </row>
    <row r="112" spans="1:13" outlineLevel="1">
      <c r="A112" s="1" t="str">
        <f ca="1">OFFSET(Язык!$A769,0,LANGUAGE)</f>
        <v>Доля продукции, реализуемой на внутреннем рынке</v>
      </c>
      <c r="C112" s="132" t="s">
        <v>385</v>
      </c>
      <c r="D112" s="1" t="s">
        <v>1746</v>
      </c>
      <c r="F112" s="181">
        <v>1</v>
      </c>
      <c r="G112" s="181">
        <f t="shared" ref="G112:K112" si="3">F112</f>
        <v>1</v>
      </c>
      <c r="H112" s="181">
        <f t="shared" si="3"/>
        <v>1</v>
      </c>
      <c r="I112" s="181">
        <f t="shared" si="3"/>
        <v>1</v>
      </c>
      <c r="J112" s="181">
        <f t="shared" si="3"/>
        <v>1</v>
      </c>
      <c r="K112" s="181">
        <f t="shared" si="3"/>
        <v>1</v>
      </c>
      <c r="L112" s="182"/>
      <c r="M112" s="182"/>
    </row>
    <row r="113" spans="1:13" outlineLevel="1">
      <c r="C113" s="132"/>
    </row>
    <row r="114" spans="1:13" outlineLevel="1">
      <c r="A114" s="48" t="str">
        <f ca="1">OFFSET(Язык!$A770,0,LANGUAGE)</f>
        <v>Выручка от реализации по действующему производству</v>
      </c>
      <c r="C114" s="132" t="str">
        <f ca="1">CUR_Main</f>
        <v>$</v>
      </c>
      <c r="D114" s="1" t="s">
        <v>1315</v>
      </c>
      <c r="F114" s="134">
        <f>H85</f>
        <v>0</v>
      </c>
      <c r="G114" s="134">
        <f t="shared" ref="G114:K114" si="4">F114*(1+G110)*(1+G111)</f>
        <v>0</v>
      </c>
      <c r="H114" s="134">
        <f t="shared" si="4"/>
        <v>0</v>
      </c>
      <c r="I114" s="134">
        <f t="shared" si="4"/>
        <v>0</v>
      </c>
      <c r="J114" s="134">
        <f t="shared" si="4"/>
        <v>0</v>
      </c>
      <c r="K114" s="134">
        <f t="shared" si="4"/>
        <v>0</v>
      </c>
      <c r="L114" s="134"/>
      <c r="M114" s="136">
        <f>SUM(F114:K114)</f>
        <v>0</v>
      </c>
    </row>
    <row r="115" spans="1:13" outlineLevel="1">
      <c r="A115" s="1" t="str">
        <f ca="1">OFFSET(Язык!$A771,0,LANGUAGE)</f>
        <v>НДС к выручке</v>
      </c>
      <c r="B115" s="184">
        <f>VAT</f>
        <v>0.12</v>
      </c>
      <c r="C115" s="132" t="str">
        <f ca="1">CUR_Main</f>
        <v>$</v>
      </c>
      <c r="D115" s="1" t="s">
        <v>1315</v>
      </c>
      <c r="F115" s="134">
        <f t="shared" ref="F115:J115" si="5">F114*$B115*F112</f>
        <v>0</v>
      </c>
      <c r="G115" s="134">
        <f t="shared" si="5"/>
        <v>0</v>
      </c>
      <c r="H115" s="134">
        <f t="shared" si="5"/>
        <v>0</v>
      </c>
      <c r="I115" s="134">
        <f t="shared" si="5"/>
        <v>0</v>
      </c>
      <c r="J115" s="134">
        <f t="shared" si="5"/>
        <v>0</v>
      </c>
      <c r="K115" s="134">
        <f t="shared" ref="K115" si="6">K114*$B115*K112</f>
        <v>0</v>
      </c>
      <c r="L115" s="134"/>
      <c r="M115" s="136">
        <f>SUM(F115:K115)</f>
        <v>0</v>
      </c>
    </row>
    <row r="116" spans="1:13" outlineLevel="1">
      <c r="C116" s="132"/>
    </row>
    <row r="117" spans="1:13" outlineLevel="1">
      <c r="A117" s="1" t="str">
        <f ca="1">OFFSET(Язык!$A772,0,LANGUAGE)</f>
        <v>Рост затрат в % к предыдущему периоду (без учета инфляции)</v>
      </c>
      <c r="C117" s="132" t="s">
        <v>385</v>
      </c>
      <c r="D117" s="1" t="s">
        <v>1315</v>
      </c>
      <c r="G117" s="181">
        <v>0</v>
      </c>
      <c r="H117" s="181">
        <f t="shared" ref="H117:K117" si="7">G117</f>
        <v>0</v>
      </c>
      <c r="I117" s="181">
        <f t="shared" si="7"/>
        <v>0</v>
      </c>
      <c r="J117" s="181">
        <f t="shared" si="7"/>
        <v>0</v>
      </c>
      <c r="K117" s="181">
        <f t="shared" si="7"/>
        <v>0</v>
      </c>
      <c r="L117" s="180"/>
      <c r="M117" s="183"/>
    </row>
    <row r="118" spans="1:13" outlineLevel="1">
      <c r="A118" s="1" t="str">
        <f ca="1">OFFSET(Язык!$A773,0,LANGUAGE)</f>
        <v>Темпы прироста затрат в следствии инфляции</v>
      </c>
      <c r="C118" s="132" t="s">
        <v>385</v>
      </c>
      <c r="D118" s="1" t="s">
        <v>1315</v>
      </c>
      <c r="G118" s="180">
        <f>IF($F108=2,Проект!G92*Компания!G119+Проект!G102*(1-Компания!G119),0)</f>
        <v>0.10000000000000009</v>
      </c>
      <c r="H118" s="180">
        <f>IF($F108=2,Проект!H92*Компания!H119+Проект!H102*(1-Компания!H119),0)</f>
        <v>0.10000000000000009</v>
      </c>
      <c r="I118" s="180">
        <f>IF($F108=2,Проект!I92*Компания!I119+Проект!I102*(1-Компания!I119),0)</f>
        <v>0.10000000000000009</v>
      </c>
      <c r="J118" s="180">
        <f>IF($F108=2,Проект!J92*Компания!J119+Проект!J102*(1-Компания!J119),0)</f>
        <v>0.10000000000000009</v>
      </c>
      <c r="K118" s="180">
        <f>IF($F108=2,Проект!K92*Компания!K119+Проект!K102*(1-Компания!K119),0)</f>
        <v>0.10000000000000009</v>
      </c>
      <c r="L118" s="180"/>
      <c r="M118" s="183"/>
    </row>
    <row r="119" spans="1:13" outlineLevel="1">
      <c r="A119" s="1" t="str">
        <f ca="1">OFFSET(Язык!$A774,0,LANGUAGE)</f>
        <v>Доля ресурсов, закупаемых на внутреннем рынке</v>
      </c>
      <c r="C119" s="132" t="s">
        <v>385</v>
      </c>
      <c r="D119" s="1" t="s">
        <v>1746</v>
      </c>
      <c r="G119" s="181">
        <v>1</v>
      </c>
      <c r="H119" s="181">
        <f t="shared" ref="H119:K119" si="8">G119</f>
        <v>1</v>
      </c>
      <c r="I119" s="181">
        <f t="shared" si="8"/>
        <v>1</v>
      </c>
      <c r="J119" s="181">
        <f t="shared" si="8"/>
        <v>1</v>
      </c>
      <c r="K119" s="181">
        <f t="shared" si="8"/>
        <v>1</v>
      </c>
      <c r="L119" s="180"/>
      <c r="M119" s="180"/>
    </row>
    <row r="120" spans="1:13" outlineLevel="1">
      <c r="C120" s="132"/>
    </row>
    <row r="121" spans="1:13" outlineLevel="1">
      <c r="A121" s="48" t="str">
        <f ca="1">OFFSET(Язык!$A775,0,LANGUAGE)</f>
        <v>Текущие затраты по действующему производству</v>
      </c>
      <c r="C121" s="132" t="str">
        <f ca="1">CUR_Main</f>
        <v>$</v>
      </c>
      <c r="D121" s="1" t="s">
        <v>1315</v>
      </c>
      <c r="F121" s="134">
        <f>H86+H88+H89</f>
        <v>0</v>
      </c>
      <c r="G121" s="134">
        <f t="shared" ref="G121:J121" si="9">SUM(G123:G130)</f>
        <v>0</v>
      </c>
      <c r="H121" s="134">
        <f t="shared" si="9"/>
        <v>0</v>
      </c>
      <c r="I121" s="134">
        <f t="shared" si="9"/>
        <v>0</v>
      </c>
      <c r="J121" s="134">
        <f t="shared" si="9"/>
        <v>0</v>
      </c>
      <c r="K121" s="134">
        <f t="shared" ref="K121" si="10">SUM(K123:K130)</f>
        <v>0</v>
      </c>
      <c r="L121" s="134"/>
      <c r="M121" s="136">
        <f>SUM(F121:K121)</f>
        <v>0</v>
      </c>
    </row>
    <row r="122" spans="1:13" outlineLevel="1">
      <c r="A122" s="1" t="str">
        <f ca="1">OFFSET(Язык!$A776,0,LANGUAGE)</f>
        <v xml:space="preserve">    Структура затрат (в % от суммарных затрат)</v>
      </c>
      <c r="B122" s="179" t="str">
        <f ca="1">OFFSET(Язык!$A835,0,LANGUAGE)</f>
        <v>Доля</v>
      </c>
      <c r="C122" s="196" t="str">
        <f>IF(OR(D122&lt;0.999,D122&gt;1.001),"≠ 100% !!!","")</f>
        <v/>
      </c>
      <c r="D122" s="139">
        <f>SUM(B123:B130)</f>
        <v>1</v>
      </c>
      <c r="F122" s="134"/>
      <c r="G122" s="134"/>
      <c r="H122" s="134"/>
      <c r="I122" s="134"/>
      <c r="J122" s="134"/>
      <c r="K122" s="134"/>
      <c r="L122" s="134"/>
      <c r="M122" s="136"/>
    </row>
    <row r="123" spans="1:13" outlineLevel="1">
      <c r="A123" s="1" t="str">
        <f ca="1">OFFSET(Язык!$A777,0,LANGUAGE)</f>
        <v xml:space="preserve">      материалы и комплектующие</v>
      </c>
      <c r="B123" s="185">
        <v>1</v>
      </c>
      <c r="C123" s="132" t="str">
        <f t="shared" ref="C123:C131" ca="1" si="11">CUR_Main</f>
        <v>$</v>
      </c>
      <c r="D123" s="1" t="s">
        <v>1315</v>
      </c>
      <c r="F123" s="134">
        <f t="shared" ref="F123:F130" si="12">F$121*$B123</f>
        <v>0</v>
      </c>
      <c r="G123" s="134">
        <f t="shared" ref="G123:K123" si="13">F123*(1+G$117)*(1+G$118)</f>
        <v>0</v>
      </c>
      <c r="H123" s="134">
        <f t="shared" si="13"/>
        <v>0</v>
      </c>
      <c r="I123" s="134">
        <f t="shared" si="13"/>
        <v>0</v>
      </c>
      <c r="J123" s="134">
        <f t="shared" si="13"/>
        <v>0</v>
      </c>
      <c r="K123" s="134">
        <f t="shared" si="13"/>
        <v>0</v>
      </c>
      <c r="L123" s="134"/>
      <c r="M123" s="136">
        <f t="shared" ref="M123:M131" si="14">SUM(F123:K123)</f>
        <v>0</v>
      </c>
    </row>
    <row r="124" spans="1:13" outlineLevel="1">
      <c r="A124" s="1" t="str">
        <f ca="1">OFFSET(Язык!$A778,0,LANGUAGE)</f>
        <v xml:space="preserve">      оплата труда</v>
      </c>
      <c r="B124" s="185">
        <v>0</v>
      </c>
      <c r="C124" s="132" t="str">
        <f t="shared" ca="1" si="11"/>
        <v>$</v>
      </c>
      <c r="D124" s="1" t="s">
        <v>1315</v>
      </c>
      <c r="F124" s="134">
        <f t="shared" si="12"/>
        <v>0</v>
      </c>
      <c r="G124" s="134">
        <f t="shared" ref="G124:K130" si="15">F124*(1+G$117)*(1+G$118)</f>
        <v>0</v>
      </c>
      <c r="H124" s="134">
        <f t="shared" si="15"/>
        <v>0</v>
      </c>
      <c r="I124" s="134">
        <f t="shared" si="15"/>
        <v>0</v>
      </c>
      <c r="J124" s="134">
        <f t="shared" si="15"/>
        <v>0</v>
      </c>
      <c r="K124" s="134">
        <f t="shared" si="15"/>
        <v>0</v>
      </c>
      <c r="L124" s="134"/>
      <c r="M124" s="136">
        <f t="shared" si="14"/>
        <v>0</v>
      </c>
    </row>
    <row r="125" spans="1:13" outlineLevel="1">
      <c r="A125" s="1" t="str">
        <f ca="1">OFFSET(Язык!$A779,0,LANGUAGE)</f>
        <v xml:space="preserve">      налоги, относимые на текущие затраты</v>
      </c>
      <c r="B125" s="185">
        <v>0</v>
      </c>
      <c r="C125" s="132" t="str">
        <f t="shared" ca="1" si="11"/>
        <v>$</v>
      </c>
      <c r="D125" s="1" t="s">
        <v>1315</v>
      </c>
      <c r="F125" s="134">
        <f t="shared" si="12"/>
        <v>0</v>
      </c>
      <c r="G125" s="134">
        <f t="shared" si="15"/>
        <v>0</v>
      </c>
      <c r="H125" s="134">
        <f t="shared" si="15"/>
        <v>0</v>
      </c>
      <c r="I125" s="134">
        <f t="shared" si="15"/>
        <v>0</v>
      </c>
      <c r="J125" s="134">
        <f t="shared" si="15"/>
        <v>0</v>
      </c>
      <c r="K125" s="134">
        <f t="shared" si="15"/>
        <v>0</v>
      </c>
      <c r="L125" s="134"/>
      <c r="M125" s="136">
        <f t="shared" si="14"/>
        <v>0</v>
      </c>
    </row>
    <row r="126" spans="1:13" outlineLevel="1">
      <c r="A126" s="1" t="str">
        <f ca="1">OFFSET(Язык!$A780,0,LANGUAGE)</f>
        <v xml:space="preserve">      производственные расходы</v>
      </c>
      <c r="B126" s="185">
        <v>0</v>
      </c>
      <c r="C126" s="132" t="str">
        <f t="shared" ca="1" si="11"/>
        <v>$</v>
      </c>
      <c r="D126" s="1" t="s">
        <v>1315</v>
      </c>
      <c r="F126" s="134">
        <f t="shared" si="12"/>
        <v>0</v>
      </c>
      <c r="G126" s="134">
        <f t="shared" si="15"/>
        <v>0</v>
      </c>
      <c r="H126" s="134">
        <f t="shared" si="15"/>
        <v>0</v>
      </c>
      <c r="I126" s="134">
        <f t="shared" si="15"/>
        <v>0</v>
      </c>
      <c r="J126" s="134">
        <f t="shared" si="15"/>
        <v>0</v>
      </c>
      <c r="K126" s="134">
        <f t="shared" si="15"/>
        <v>0</v>
      </c>
      <c r="L126" s="134"/>
      <c r="M126" s="136">
        <f t="shared" si="14"/>
        <v>0</v>
      </c>
    </row>
    <row r="127" spans="1:13" outlineLevel="1">
      <c r="A127" s="1" t="str">
        <f ca="1">OFFSET(Язык!$A781,0,LANGUAGE)</f>
        <v xml:space="preserve">      начисленные лизинговые платежи</v>
      </c>
      <c r="B127" s="185">
        <v>0</v>
      </c>
      <c r="C127" s="132" t="str">
        <f t="shared" ca="1" si="11"/>
        <v>$</v>
      </c>
      <c r="D127" s="1" t="s">
        <v>1315</v>
      </c>
      <c r="F127" s="134">
        <f t="shared" si="12"/>
        <v>0</v>
      </c>
      <c r="G127" s="134">
        <f t="shared" si="15"/>
        <v>0</v>
      </c>
      <c r="H127" s="134">
        <f t="shared" si="15"/>
        <v>0</v>
      </c>
      <c r="I127" s="134">
        <f t="shared" si="15"/>
        <v>0</v>
      </c>
      <c r="J127" s="134">
        <f t="shared" si="15"/>
        <v>0</v>
      </c>
      <c r="K127" s="134">
        <f t="shared" si="15"/>
        <v>0</v>
      </c>
      <c r="L127" s="134"/>
      <c r="M127" s="136">
        <f t="shared" si="14"/>
        <v>0</v>
      </c>
    </row>
    <row r="128" spans="1:13" outlineLevel="1">
      <c r="A128" s="1" t="str">
        <f ca="1">OFFSET(Язык!$A782,0,LANGUAGE)</f>
        <v xml:space="preserve">      амортизация</v>
      </c>
      <c r="B128" s="185">
        <v>0</v>
      </c>
      <c r="C128" s="132" t="str">
        <f t="shared" ca="1" si="11"/>
        <v>$</v>
      </c>
      <c r="D128" s="1" t="s">
        <v>1315</v>
      </c>
      <c r="F128" s="134">
        <f t="shared" si="12"/>
        <v>0</v>
      </c>
      <c r="G128" s="134">
        <f t="shared" ref="G128:J128" si="16">G169</f>
        <v>0</v>
      </c>
      <c r="H128" s="134">
        <f t="shared" si="16"/>
        <v>0</v>
      </c>
      <c r="I128" s="134">
        <f t="shared" si="16"/>
        <v>0</v>
      </c>
      <c r="J128" s="134">
        <f t="shared" si="16"/>
        <v>0</v>
      </c>
      <c r="K128" s="134">
        <f t="shared" ref="K128" si="17">K169</f>
        <v>0</v>
      </c>
      <c r="L128" s="134"/>
      <c r="M128" s="136">
        <f t="shared" si="14"/>
        <v>0</v>
      </c>
    </row>
    <row r="129" spans="1:13" outlineLevel="1">
      <c r="A129" s="1" t="str">
        <f ca="1">OFFSET(Язык!$A783,0,LANGUAGE)</f>
        <v xml:space="preserve">      коммерческие расходы</v>
      </c>
      <c r="B129" s="185">
        <v>0</v>
      </c>
      <c r="C129" s="132" t="str">
        <f t="shared" ca="1" si="11"/>
        <v>$</v>
      </c>
      <c r="D129" s="1" t="s">
        <v>1315</v>
      </c>
      <c r="F129" s="134">
        <f t="shared" si="12"/>
        <v>0</v>
      </c>
      <c r="G129" s="134">
        <f t="shared" ref="G129:K129" si="18">F129*(1+G$117)*(1+G$118)</f>
        <v>0</v>
      </c>
      <c r="H129" s="134">
        <f t="shared" si="18"/>
        <v>0</v>
      </c>
      <c r="I129" s="134">
        <f t="shared" si="18"/>
        <v>0</v>
      </c>
      <c r="J129" s="134">
        <f t="shared" si="18"/>
        <v>0</v>
      </c>
      <c r="K129" s="134">
        <f t="shared" si="18"/>
        <v>0</v>
      </c>
      <c r="L129" s="134"/>
      <c r="M129" s="136">
        <f t="shared" si="14"/>
        <v>0</v>
      </c>
    </row>
    <row r="130" spans="1:13" outlineLevel="1">
      <c r="A130" s="1" t="str">
        <f ca="1">OFFSET(Язык!$A784,0,LANGUAGE)</f>
        <v xml:space="preserve">      управленческие расходы</v>
      </c>
      <c r="B130" s="186">
        <v>0</v>
      </c>
      <c r="C130" s="132" t="str">
        <f t="shared" ca="1" si="11"/>
        <v>$</v>
      </c>
      <c r="D130" s="1" t="s">
        <v>1315</v>
      </c>
      <c r="F130" s="134">
        <f t="shared" si="12"/>
        <v>0</v>
      </c>
      <c r="G130" s="134">
        <f t="shared" si="15"/>
        <v>0</v>
      </c>
      <c r="H130" s="134">
        <f t="shared" si="15"/>
        <v>0</v>
      </c>
      <c r="I130" s="134">
        <f t="shared" si="15"/>
        <v>0</v>
      </c>
      <c r="J130" s="134">
        <f t="shared" si="15"/>
        <v>0</v>
      </c>
      <c r="K130" s="134">
        <f t="shared" si="15"/>
        <v>0</v>
      </c>
      <c r="L130" s="134"/>
      <c r="M130" s="136">
        <f t="shared" si="14"/>
        <v>0</v>
      </c>
    </row>
    <row r="131" spans="1:13" outlineLevel="1">
      <c r="A131" s="170" t="str">
        <f ca="1">OFFSET(Язык!$A785,0,LANGUAGE)</f>
        <v>НДС к затратам</v>
      </c>
      <c r="B131" s="187">
        <f>VAT</f>
        <v>0.12</v>
      </c>
      <c r="C131" s="173" t="str">
        <f t="shared" ca="1" si="11"/>
        <v>$</v>
      </c>
      <c r="D131" s="170" t="s">
        <v>1315</v>
      </c>
      <c r="E131" s="170"/>
      <c r="F131" s="188">
        <f t="shared" ref="F131:J131" si="19">(F123+F126+F129+F130)*$B131</f>
        <v>0</v>
      </c>
      <c r="G131" s="188">
        <f t="shared" si="19"/>
        <v>0</v>
      </c>
      <c r="H131" s="188">
        <f t="shared" si="19"/>
        <v>0</v>
      </c>
      <c r="I131" s="188">
        <f t="shared" si="19"/>
        <v>0</v>
      </c>
      <c r="J131" s="188">
        <f t="shared" si="19"/>
        <v>0</v>
      </c>
      <c r="K131" s="188">
        <f t="shared" ref="K131" si="20">(K123+K126+K129+K130)*$B131</f>
        <v>0</v>
      </c>
      <c r="L131" s="188"/>
      <c r="M131" s="189">
        <f t="shared" si="14"/>
        <v>0</v>
      </c>
    </row>
    <row r="132" spans="1:13" outlineLevel="1"/>
    <row r="133" spans="1:13" ht="12" outlineLevel="1" thickBot="1"/>
    <row r="134" spans="1:13" s="2" customFormat="1" ht="15.95" customHeight="1" thickTop="1" thickBot="1">
      <c r="A134" s="18" t="str">
        <f ca="1">OFFSET(Язык!$A786,0,LANGUAGE)</f>
        <v>ОБОРОТНЫЙ КАПИТАЛ</v>
      </c>
      <c r="B134" s="19"/>
      <c r="C134" s="19"/>
      <c r="D134" s="18"/>
      <c r="E134" s="18"/>
      <c r="F134" s="190">
        <f>Проект!G29</f>
        <v>40179</v>
      </c>
      <c r="G134" s="19">
        <f t="shared" ref="G134:K134" si="21">PeriodTitle</f>
        <v>2013</v>
      </c>
      <c r="H134" s="19">
        <f t="shared" si="21"/>
        <v>2014</v>
      </c>
      <c r="I134" s="19">
        <f t="shared" si="21"/>
        <v>2015</v>
      </c>
      <c r="J134" s="19">
        <f t="shared" si="21"/>
        <v>2016</v>
      </c>
      <c r="K134" s="19">
        <f t="shared" si="21"/>
        <v>2017</v>
      </c>
      <c r="L134" s="19"/>
      <c r="M134" s="21"/>
    </row>
    <row r="135" spans="1:13" ht="12" outlineLevel="1" thickTop="1"/>
    <row r="136" spans="1:13" outlineLevel="1">
      <c r="B136" s="132" t="s">
        <v>1935</v>
      </c>
    </row>
    <row r="137" spans="1:13" outlineLevel="1">
      <c r="A137" s="1" t="str">
        <f ca="1">OFFSET(Язык!$A787,0,LANGUAGE)</f>
        <v>Запасы материалов и комплектующих</v>
      </c>
      <c r="B137" s="227">
        <f>IF(F121&gt;0,G30/F121*PRJ_Step,0)</f>
        <v>0</v>
      </c>
      <c r="C137" s="132" t="str">
        <f t="shared" ref="C137:C142" ca="1" si="22">CUR_Main</f>
        <v>$</v>
      </c>
      <c r="D137" s="1" t="s">
        <v>1736</v>
      </c>
      <c r="F137" s="134">
        <f>G30</f>
        <v>0</v>
      </c>
      <c r="G137" s="134">
        <f t="shared" ref="G137:K139" si="23">G$121*$B137/PRJ_Step</f>
        <v>0</v>
      </c>
      <c r="H137" s="134">
        <f t="shared" si="23"/>
        <v>0</v>
      </c>
      <c r="I137" s="134">
        <f t="shared" si="23"/>
        <v>0</v>
      </c>
      <c r="J137" s="134">
        <f t="shared" si="23"/>
        <v>0</v>
      </c>
      <c r="K137" s="134">
        <f t="shared" si="23"/>
        <v>0</v>
      </c>
      <c r="L137" s="134"/>
      <c r="M137" s="134"/>
    </row>
    <row r="138" spans="1:13" outlineLevel="1">
      <c r="A138" s="1" t="str">
        <f ca="1">OFFSET(Язык!$A788,0,LANGUAGE)</f>
        <v>Незавершенное производство</v>
      </c>
      <c r="B138" s="227">
        <f>IF(F121&gt;0,G32/F121*PRJ_Step,0)</f>
        <v>0</v>
      </c>
      <c r="C138" s="132" t="str">
        <f t="shared" ca="1" si="22"/>
        <v>$</v>
      </c>
      <c r="D138" s="1" t="s">
        <v>1736</v>
      </c>
      <c r="F138" s="134">
        <f>G31+G32</f>
        <v>0</v>
      </c>
      <c r="G138" s="134">
        <f t="shared" si="23"/>
        <v>0</v>
      </c>
      <c r="H138" s="134">
        <f t="shared" si="23"/>
        <v>0</v>
      </c>
      <c r="I138" s="134">
        <f t="shared" si="23"/>
        <v>0</v>
      </c>
      <c r="J138" s="134">
        <f t="shared" si="23"/>
        <v>0</v>
      </c>
      <c r="K138" s="134">
        <f t="shared" si="23"/>
        <v>0</v>
      </c>
      <c r="L138" s="134"/>
      <c r="M138" s="134"/>
    </row>
    <row r="139" spans="1:13" outlineLevel="1">
      <c r="A139" s="1" t="str">
        <f ca="1">OFFSET(Язык!$A789,0,LANGUAGE)</f>
        <v>Готовая продукция</v>
      </c>
      <c r="B139" s="227">
        <f>IF(F121&gt;0,(G33+G34)/F121*PRJ_Step,0)</f>
        <v>0</v>
      </c>
      <c r="C139" s="132" t="str">
        <f t="shared" ca="1" si="22"/>
        <v>$</v>
      </c>
      <c r="D139" s="1" t="s">
        <v>1736</v>
      </c>
      <c r="F139" s="134">
        <f>G33+G34</f>
        <v>0</v>
      </c>
      <c r="G139" s="134">
        <f t="shared" si="23"/>
        <v>0</v>
      </c>
      <c r="H139" s="134">
        <f t="shared" si="23"/>
        <v>0</v>
      </c>
      <c r="I139" s="134">
        <f t="shared" si="23"/>
        <v>0</v>
      </c>
      <c r="J139" s="134">
        <f t="shared" si="23"/>
        <v>0</v>
      </c>
      <c r="K139" s="134">
        <f t="shared" si="23"/>
        <v>0</v>
      </c>
      <c r="L139" s="134"/>
      <c r="M139" s="134"/>
    </row>
    <row r="140" spans="1:13" outlineLevel="1">
      <c r="A140" s="1" t="str">
        <f ca="1">OFFSET(Язык!$A790,0,LANGUAGE)</f>
        <v>Дебиторская задолженность</v>
      </c>
      <c r="B140" s="227">
        <f>IF(F114&gt;0,(G38+G40)/F114*PRJ_Step,0)</f>
        <v>0</v>
      </c>
      <c r="C140" s="132" t="str">
        <f t="shared" ca="1" si="22"/>
        <v>$</v>
      </c>
      <c r="D140" s="1" t="s">
        <v>1736</v>
      </c>
      <c r="F140" s="134">
        <f>G38+G40</f>
        <v>0</v>
      </c>
      <c r="G140" s="134">
        <f t="shared" ref="G140:K140" si="24">G$114*$B140/PRJ_Step</f>
        <v>0</v>
      </c>
      <c r="H140" s="134">
        <f t="shared" si="24"/>
        <v>0</v>
      </c>
      <c r="I140" s="134">
        <f t="shared" si="24"/>
        <v>0</v>
      </c>
      <c r="J140" s="134">
        <f t="shared" si="24"/>
        <v>0</v>
      </c>
      <c r="K140" s="134">
        <f t="shared" si="24"/>
        <v>0</v>
      </c>
      <c r="L140" s="134"/>
      <c r="M140" s="134"/>
    </row>
    <row r="141" spans="1:13" outlineLevel="1">
      <c r="A141" s="1" t="str">
        <f ca="1">OFFSET(Язык!$A791,0,LANGUAGE)</f>
        <v>Авансы уплаченные</v>
      </c>
      <c r="B141" s="227">
        <v>0</v>
      </c>
      <c r="C141" s="132" t="str">
        <f t="shared" ca="1" si="22"/>
        <v>$</v>
      </c>
      <c r="D141" s="1" t="s">
        <v>1736</v>
      </c>
      <c r="F141" s="134">
        <v>0</v>
      </c>
      <c r="G141" s="134">
        <f t="shared" ref="G141:K142" si="25">G$121*$B141/PRJ_Step</f>
        <v>0</v>
      </c>
      <c r="H141" s="134">
        <f t="shared" si="25"/>
        <v>0</v>
      </c>
      <c r="I141" s="134">
        <f t="shared" si="25"/>
        <v>0</v>
      </c>
      <c r="J141" s="134">
        <f t="shared" si="25"/>
        <v>0</v>
      </c>
      <c r="K141" s="134">
        <f t="shared" si="25"/>
        <v>0</v>
      </c>
      <c r="L141" s="134"/>
      <c r="M141" s="134"/>
    </row>
    <row r="142" spans="1:13" outlineLevel="1">
      <c r="A142" s="1" t="str">
        <f ca="1">OFFSET(Язык!$A792,0,LANGUAGE)</f>
        <v>НДС уплаченный</v>
      </c>
      <c r="B142" s="227">
        <f>IF(F121&gt;0,G37/F121*PRJ_Step,0)</f>
        <v>0</v>
      </c>
      <c r="C142" s="132" t="str">
        <f t="shared" ca="1" si="22"/>
        <v>$</v>
      </c>
      <c r="D142" s="1" t="s">
        <v>1736</v>
      </c>
      <c r="F142" s="134">
        <f>G37</f>
        <v>0</v>
      </c>
      <c r="G142" s="134">
        <f t="shared" si="25"/>
        <v>0</v>
      </c>
      <c r="H142" s="134">
        <f t="shared" si="25"/>
        <v>0</v>
      </c>
      <c r="I142" s="134">
        <f t="shared" si="25"/>
        <v>0</v>
      </c>
      <c r="J142" s="134">
        <f t="shared" si="25"/>
        <v>0</v>
      </c>
      <c r="K142" s="134">
        <f t="shared" si="25"/>
        <v>0</v>
      </c>
      <c r="L142" s="134"/>
      <c r="M142" s="134"/>
    </row>
    <row r="143" spans="1:13" outlineLevel="1">
      <c r="F143" s="134"/>
      <c r="G143" s="134"/>
      <c r="H143" s="134"/>
      <c r="I143" s="134"/>
      <c r="J143" s="134"/>
      <c r="K143" s="134"/>
      <c r="L143" s="134"/>
      <c r="M143" s="134"/>
    </row>
    <row r="144" spans="1:13" outlineLevel="1">
      <c r="A144" s="1" t="str">
        <f ca="1">OFFSET(Язык!$A793,0,LANGUAGE)</f>
        <v>= Оборотные активы</v>
      </c>
      <c r="C144" s="132" t="str">
        <f ca="1">CUR_Main</f>
        <v>$</v>
      </c>
      <c r="D144" s="1" t="s">
        <v>1736</v>
      </c>
      <c r="F144" s="134">
        <f t="shared" ref="F144:J144" si="26">SUM(F137:F142)</f>
        <v>0</v>
      </c>
      <c r="G144" s="134">
        <f t="shared" si="26"/>
        <v>0</v>
      </c>
      <c r="H144" s="134">
        <f t="shared" si="26"/>
        <v>0</v>
      </c>
      <c r="I144" s="134">
        <f t="shared" si="26"/>
        <v>0</v>
      </c>
      <c r="J144" s="134">
        <f t="shared" si="26"/>
        <v>0</v>
      </c>
      <c r="K144" s="134">
        <f t="shared" ref="K144" si="27">SUM(K137:K142)</f>
        <v>0</v>
      </c>
      <c r="L144" s="134"/>
      <c r="M144" s="134"/>
    </row>
    <row r="145" spans="1:13" outlineLevel="1">
      <c r="F145" s="134"/>
      <c r="G145" s="134"/>
      <c r="H145" s="134"/>
      <c r="I145" s="134"/>
      <c r="J145" s="134"/>
      <c r="K145" s="134"/>
      <c r="L145" s="134"/>
      <c r="M145" s="134"/>
    </row>
    <row r="146" spans="1:13" outlineLevel="1">
      <c r="A146" s="1" t="str">
        <f ca="1">OFFSET(Язык!$A794,0,LANGUAGE)</f>
        <v>Кредиторская задолженность</v>
      </c>
      <c r="B146" s="227">
        <f>IF(F121&gt;0,(G67-G70-G71-G72)/F121*PRJ_Step,0)</f>
        <v>0</v>
      </c>
      <c r="C146" s="132" t="str">
        <f ca="1">CUR_Main</f>
        <v>$</v>
      </c>
      <c r="D146" s="1" t="s">
        <v>1736</v>
      </c>
      <c r="F146" s="134">
        <f>G67-G70-G71-G72</f>
        <v>0</v>
      </c>
      <c r="G146" s="134">
        <f t="shared" ref="G146:K146" si="28">G$121*$B146/PRJ_Step</f>
        <v>0</v>
      </c>
      <c r="H146" s="134">
        <f t="shared" si="28"/>
        <v>0</v>
      </c>
      <c r="I146" s="134">
        <f t="shared" si="28"/>
        <v>0</v>
      </c>
      <c r="J146" s="134">
        <f t="shared" si="28"/>
        <v>0</v>
      </c>
      <c r="K146" s="134">
        <f t="shared" si="28"/>
        <v>0</v>
      </c>
      <c r="L146" s="134"/>
      <c r="M146" s="134"/>
    </row>
    <row r="147" spans="1:13" outlineLevel="1">
      <c r="A147" s="1" t="str">
        <f ca="1">OFFSET(Язык!$A795,0,LANGUAGE)</f>
        <v>Авансы покупателей</v>
      </c>
      <c r="B147" s="227">
        <v>0</v>
      </c>
      <c r="C147" s="132" t="str">
        <f ca="1">CUR_Main</f>
        <v>$</v>
      </c>
      <c r="D147" s="1" t="s">
        <v>1736</v>
      </c>
      <c r="F147" s="134">
        <v>0</v>
      </c>
      <c r="G147" s="134">
        <f t="shared" ref="G147:K147" si="29">G$114*$B147/PRJ_Step</f>
        <v>0</v>
      </c>
      <c r="H147" s="134">
        <f t="shared" si="29"/>
        <v>0</v>
      </c>
      <c r="I147" s="134">
        <f t="shared" si="29"/>
        <v>0</v>
      </c>
      <c r="J147" s="134">
        <f t="shared" si="29"/>
        <v>0</v>
      </c>
      <c r="K147" s="134">
        <f t="shared" si="29"/>
        <v>0</v>
      </c>
      <c r="L147" s="134"/>
      <c r="M147" s="134"/>
    </row>
    <row r="148" spans="1:13" outlineLevel="1">
      <c r="A148" s="1" t="str">
        <f ca="1">OFFSET(Язык!$A796,0,LANGUAGE)</f>
        <v>Расчеты с бюджетом и внебюджетными фондами</v>
      </c>
      <c r="B148" s="227">
        <f>IF(F121&gt;0,(G71+G72)/F121*PRJ_Step,0)</f>
        <v>0</v>
      </c>
      <c r="C148" s="132" t="str">
        <f ca="1">CUR_Main</f>
        <v>$</v>
      </c>
      <c r="D148" s="1" t="s">
        <v>1736</v>
      </c>
      <c r="F148" s="134">
        <f>G71+G72</f>
        <v>0</v>
      </c>
      <c r="G148" s="134">
        <f t="shared" ref="G148:K149" si="30">G$121*$B148/PRJ_Step</f>
        <v>0</v>
      </c>
      <c r="H148" s="134">
        <f t="shared" si="30"/>
        <v>0</v>
      </c>
      <c r="I148" s="134">
        <f t="shared" si="30"/>
        <v>0</v>
      </c>
      <c r="J148" s="134">
        <f t="shared" si="30"/>
        <v>0</v>
      </c>
      <c r="K148" s="134">
        <f t="shared" si="30"/>
        <v>0</v>
      </c>
      <c r="L148" s="134"/>
      <c r="M148" s="134"/>
    </row>
    <row r="149" spans="1:13" outlineLevel="1">
      <c r="A149" s="1" t="str">
        <f ca="1">OFFSET(Язык!$A797,0,LANGUAGE)</f>
        <v>Расчеты с персоналом</v>
      </c>
      <c r="B149" s="227">
        <f>IF(F121&gt;0,G70/F121*PRJ_Step,0)</f>
        <v>0</v>
      </c>
      <c r="C149" s="132" t="str">
        <f ca="1">CUR_Main</f>
        <v>$</v>
      </c>
      <c r="D149" s="1" t="s">
        <v>1736</v>
      </c>
      <c r="F149" s="134">
        <f>G70</f>
        <v>0</v>
      </c>
      <c r="G149" s="134">
        <f t="shared" si="30"/>
        <v>0</v>
      </c>
      <c r="H149" s="134">
        <f t="shared" si="30"/>
        <v>0</v>
      </c>
      <c r="I149" s="134">
        <f t="shared" si="30"/>
        <v>0</v>
      </c>
      <c r="J149" s="134">
        <f t="shared" si="30"/>
        <v>0</v>
      </c>
      <c r="K149" s="134">
        <f t="shared" si="30"/>
        <v>0</v>
      </c>
      <c r="L149" s="134"/>
      <c r="M149" s="134"/>
    </row>
    <row r="150" spans="1:13" outlineLevel="1">
      <c r="F150" s="134"/>
      <c r="G150" s="134"/>
      <c r="H150" s="134"/>
      <c r="I150" s="134"/>
      <c r="J150" s="134"/>
      <c r="K150" s="134"/>
      <c r="L150" s="134"/>
      <c r="M150" s="134"/>
    </row>
    <row r="151" spans="1:13" outlineLevel="1">
      <c r="A151" s="1" t="str">
        <f ca="1">OFFSET(Язык!$A798,0,LANGUAGE)</f>
        <v>= Краткосрочные обязательства</v>
      </c>
      <c r="C151" s="132" t="str">
        <f ca="1">CUR_Main</f>
        <v>$</v>
      </c>
      <c r="D151" s="1" t="s">
        <v>1736</v>
      </c>
      <c r="F151" s="134">
        <f t="shared" ref="F151:J151" si="31">SUM(F146:F149)</f>
        <v>0</v>
      </c>
      <c r="G151" s="134">
        <f t="shared" si="31"/>
        <v>0</v>
      </c>
      <c r="H151" s="134">
        <f t="shared" si="31"/>
        <v>0</v>
      </c>
      <c r="I151" s="134">
        <f t="shared" si="31"/>
        <v>0</v>
      </c>
      <c r="J151" s="134">
        <f t="shared" si="31"/>
        <v>0</v>
      </c>
      <c r="K151" s="134">
        <f t="shared" ref="K151" si="32">SUM(K146:K149)</f>
        <v>0</v>
      </c>
      <c r="L151" s="134"/>
      <c r="M151" s="134"/>
    </row>
    <row r="152" spans="1:13" outlineLevel="1">
      <c r="F152" s="134"/>
      <c r="G152" s="134"/>
      <c r="H152" s="134"/>
      <c r="I152" s="134"/>
      <c r="J152" s="134"/>
      <c r="K152" s="134"/>
      <c r="L152" s="134"/>
      <c r="M152" s="134"/>
    </row>
    <row r="153" spans="1:13" outlineLevel="1">
      <c r="A153" s="174" t="str">
        <f ca="1">OFFSET(Язык!$A799,0,LANGUAGE)</f>
        <v xml:space="preserve">= Чистый оборотный капитал </v>
      </c>
      <c r="B153" s="170"/>
      <c r="C153" s="173" t="str">
        <f ca="1">CUR_Main</f>
        <v>$</v>
      </c>
      <c r="D153" s="170" t="s">
        <v>1736</v>
      </c>
      <c r="E153" s="170"/>
      <c r="F153" s="188">
        <f t="shared" ref="F153:J153" si="33">F144-F151</f>
        <v>0</v>
      </c>
      <c r="G153" s="188">
        <f t="shared" si="33"/>
        <v>0</v>
      </c>
      <c r="H153" s="188">
        <f t="shared" si="33"/>
        <v>0</v>
      </c>
      <c r="I153" s="188">
        <f t="shared" si="33"/>
        <v>0</v>
      </c>
      <c r="J153" s="188">
        <f t="shared" si="33"/>
        <v>0</v>
      </c>
      <c r="K153" s="188">
        <f t="shared" ref="K153" si="34">K144-K151</f>
        <v>0</v>
      </c>
      <c r="L153" s="188"/>
      <c r="M153" s="188"/>
    </row>
    <row r="154" spans="1:13" outlineLevel="1"/>
    <row r="155" spans="1:13" ht="12" outlineLevel="1" thickBot="1"/>
    <row r="156" spans="1:13" s="2" customFormat="1" ht="15.95" customHeight="1" thickTop="1" thickBot="1">
      <c r="A156" s="18" t="str">
        <f ca="1">OFFSET(Язык!$A800,0,LANGUAGE)</f>
        <v>ПОСТОЯННЫЕ АКТИВЫ</v>
      </c>
      <c r="B156" s="19"/>
      <c r="C156" s="19"/>
      <c r="D156" s="18"/>
      <c r="E156" s="18"/>
      <c r="F156" s="190">
        <f>Проект!G29</f>
        <v>40179</v>
      </c>
      <c r="G156" s="19">
        <f t="shared" ref="G156:K156" si="35">PeriodTitle</f>
        <v>2013</v>
      </c>
      <c r="H156" s="19">
        <f t="shared" si="35"/>
        <v>2014</v>
      </c>
      <c r="I156" s="19">
        <f t="shared" si="35"/>
        <v>2015</v>
      </c>
      <c r="J156" s="19">
        <f t="shared" si="35"/>
        <v>2016</v>
      </c>
      <c r="K156" s="19">
        <f t="shared" si="35"/>
        <v>2017</v>
      </c>
      <c r="L156" s="19"/>
      <c r="M156" s="23" t="str">
        <f ca="1">OFFSET(Язык!$A$77,0,LANGUAGE)</f>
        <v>ИТОГО</v>
      </c>
    </row>
    <row r="157" spans="1:13" ht="12" outlineLevel="1" thickTop="1"/>
    <row r="158" spans="1:13" outlineLevel="1">
      <c r="A158" s="1" t="str">
        <f ca="1">OFFSET(Язык!$A801,0,LANGUAGE)</f>
        <v>Незавершенные капитальные вложения</v>
      </c>
      <c r="D158" s="1" t="s">
        <v>1736</v>
      </c>
      <c r="F158" s="134">
        <f>G21</f>
        <v>0</v>
      </c>
      <c r="G158" s="134">
        <f t="shared" ref="G158:K158" si="36">IF(G12&gt;=$B159,0,F158+G165)</f>
        <v>0</v>
      </c>
      <c r="H158" s="134">
        <f t="shared" si="36"/>
        <v>0</v>
      </c>
      <c r="I158" s="134">
        <f t="shared" si="36"/>
        <v>0</v>
      </c>
      <c r="J158" s="134">
        <f t="shared" si="36"/>
        <v>0</v>
      </c>
      <c r="K158" s="134">
        <f t="shared" si="36"/>
        <v>0</v>
      </c>
    </row>
    <row r="159" spans="1:13" ht="22.5" outlineLevel="1">
      <c r="A159" s="177" t="str">
        <f ca="1">OFFSET(Язык!$A802,0,LANGUAGE)</f>
        <v>Незавершенные капитальные вложения вводятся в эксплуатацию с интервала</v>
      </c>
      <c r="B159" s="218">
        <v>1</v>
      </c>
    </row>
    <row r="160" spans="1:13" outlineLevel="1">
      <c r="A160" s="177"/>
    </row>
    <row r="161" spans="1:13" ht="22.5" outlineLevel="1">
      <c r="A161" s="177" t="str">
        <f ca="1">OFFSET(Язык!$A803,0,LANGUAGE)</f>
        <v>Дополнительные вложения во внеоборотные активы (по действующему предприятию, в сегодняшних ценах)</v>
      </c>
      <c r="G161" s="220">
        <v>0</v>
      </c>
      <c r="H161" s="220">
        <v>0</v>
      </c>
      <c r="I161" s="220">
        <v>0</v>
      </c>
      <c r="J161" s="220">
        <v>0</v>
      </c>
      <c r="K161" s="220">
        <v>0</v>
      </c>
    </row>
    <row r="162" spans="1:13" outlineLevel="1">
      <c r="A162" s="1" t="str">
        <f ca="1">OFFSET(Язык!$A804,0,LANGUAGE)</f>
        <v>Доля внеоборотных активов, приобретаемых на внутреннем рынке</v>
      </c>
      <c r="D162" s="1" t="s">
        <v>1746</v>
      </c>
      <c r="F162" s="216">
        <v>1</v>
      </c>
      <c r="G162" s="216">
        <f t="shared" ref="G162:K162" si="37">F162</f>
        <v>1</v>
      </c>
      <c r="H162" s="216">
        <f t="shared" si="37"/>
        <v>1</v>
      </c>
      <c r="I162" s="216">
        <f t="shared" si="37"/>
        <v>1</v>
      </c>
      <c r="J162" s="216">
        <f t="shared" si="37"/>
        <v>1</v>
      </c>
      <c r="K162" s="216">
        <f t="shared" si="37"/>
        <v>1</v>
      </c>
    </row>
    <row r="163" spans="1:13" outlineLevel="1">
      <c r="A163" s="1" t="str">
        <f ca="1">OFFSET(Язык!$A805,0,LANGUAGE)</f>
        <v>Средневзвешенный темп изменения цен</v>
      </c>
      <c r="G163" s="180">
        <f>IF($F108=2,Проект!G92*G162+Проект!G102*(1-G162),0)</f>
        <v>0.10000000000000009</v>
      </c>
      <c r="H163" s="180">
        <f>IF($F108=2,Проект!H92*H162+Проект!H102*(1-H162),0)</f>
        <v>0.10000000000000009</v>
      </c>
      <c r="I163" s="180">
        <f>IF($F108=2,Проект!I92*I162+Проект!I102*(1-I162),0)</f>
        <v>0.10000000000000009</v>
      </c>
      <c r="J163" s="180">
        <f>IF($F108=2,Проект!J92*J162+Проект!J102*(1-J162),0)</f>
        <v>0.10000000000000009</v>
      </c>
      <c r="K163" s="180">
        <f>IF($F108=2,Проект!K92*K162+Проект!K102*(1-K162),0)</f>
        <v>0.10000000000000009</v>
      </c>
    </row>
    <row r="164" spans="1:13" outlineLevel="1">
      <c r="A164" s="1" t="str">
        <f ca="1">OFFSET(Язык!$A806,0,LANGUAGE)</f>
        <v>Индекс роста цен</v>
      </c>
      <c r="D164" s="1" t="s">
        <v>1736</v>
      </c>
      <c r="F164" s="139">
        <v>1</v>
      </c>
      <c r="G164" s="180">
        <f t="shared" ref="G164:K164" si="38">F164*(1+G163)</f>
        <v>1.1000000000000001</v>
      </c>
      <c r="H164" s="180">
        <f t="shared" si="38"/>
        <v>1.2100000000000002</v>
      </c>
      <c r="I164" s="180">
        <f t="shared" si="38"/>
        <v>1.3310000000000004</v>
      </c>
      <c r="J164" s="180">
        <f t="shared" si="38"/>
        <v>1.4641000000000006</v>
      </c>
      <c r="K164" s="180">
        <f t="shared" si="38"/>
        <v>1.6105100000000008</v>
      </c>
    </row>
    <row r="165" spans="1:13" outlineLevel="1">
      <c r="A165" s="1" t="str">
        <f ca="1">OFFSET(Язык!$A807,0,LANGUAGE)</f>
        <v>Вложения во внеоборотные активы с учетом инфляции</v>
      </c>
      <c r="F165" s="134">
        <f t="shared" ref="F165:J165" si="39">F161*F164</f>
        <v>0</v>
      </c>
      <c r="G165" s="134">
        <f t="shared" si="39"/>
        <v>0</v>
      </c>
      <c r="H165" s="134">
        <f t="shared" si="39"/>
        <v>0</v>
      </c>
      <c r="I165" s="134">
        <f t="shared" si="39"/>
        <v>0</v>
      </c>
      <c r="J165" s="134">
        <f t="shared" si="39"/>
        <v>0</v>
      </c>
      <c r="K165" s="134">
        <f t="shared" ref="K165" si="40">K161*K164</f>
        <v>0</v>
      </c>
      <c r="L165" s="134"/>
      <c r="M165" s="136">
        <f>SUM(F165:K165)</f>
        <v>0</v>
      </c>
    </row>
    <row r="166" spans="1:13" outlineLevel="1">
      <c r="A166" s="177"/>
      <c r="G166" s="180"/>
      <c r="H166" s="180"/>
      <c r="I166" s="180"/>
      <c r="J166" s="180"/>
      <c r="K166" s="180"/>
    </row>
    <row r="167" spans="1:13" outlineLevel="1">
      <c r="A167" s="1" t="str">
        <f ca="1">OFFSET(Язык!$A808,0,LANGUAGE)</f>
        <v>Полная стоимость внеоборотных активов</v>
      </c>
      <c r="D167" s="1" t="s">
        <v>1736</v>
      </c>
      <c r="F167" s="134">
        <f>G20+G19</f>
        <v>0</v>
      </c>
      <c r="G167" s="219">
        <f t="shared" ref="G167:K167" si="41">IF(G12&gt;=$B159,F167+F158+G165,F167)</f>
        <v>0</v>
      </c>
      <c r="H167" s="219">
        <f t="shared" si="41"/>
        <v>0</v>
      </c>
      <c r="I167" s="219">
        <f t="shared" si="41"/>
        <v>0</v>
      </c>
      <c r="J167" s="219">
        <f t="shared" si="41"/>
        <v>0</v>
      </c>
      <c r="K167" s="219">
        <f t="shared" si="41"/>
        <v>0</v>
      </c>
    </row>
    <row r="168" spans="1:13" outlineLevel="1">
      <c r="A168" s="1" t="str">
        <f ca="1">OFFSET(Язык!$A809,0,LANGUAGE)</f>
        <v>Остаточная стоимость внеоборотных активов</v>
      </c>
      <c r="D168" s="1" t="s">
        <v>1736</v>
      </c>
      <c r="F168" s="134">
        <f>F167-SUM($F169:F169)-SUM($F172:F172)</f>
        <v>0</v>
      </c>
      <c r="G168" s="134">
        <f>G167-SUM($F169:G169)-SUM($F172:G172)</f>
        <v>0</v>
      </c>
      <c r="H168" s="134">
        <f>H167-SUM($F169:H169)-SUM($F172:H172)</f>
        <v>0</v>
      </c>
      <c r="I168" s="134">
        <f>I167-SUM($F169:I169)-SUM($F172:I172)</f>
        <v>0</v>
      </c>
      <c r="J168" s="134">
        <f>J167-SUM($F169:J169)-SUM($F172:J172)</f>
        <v>0</v>
      </c>
      <c r="K168" s="134">
        <f>K167-SUM($F169:K169)-SUM($F172:K172)</f>
        <v>0</v>
      </c>
    </row>
    <row r="169" spans="1:13" outlineLevel="1">
      <c r="A169" s="1" t="str">
        <f ca="1">OFFSET(Язык!$A810,0,LANGUAGE)</f>
        <v xml:space="preserve">Амортизационные отчисления </v>
      </c>
      <c r="B169" s="199">
        <f>IF(AND(B128&gt;0,F167&gt;0),F128/F167,0.1)</f>
        <v>0.1</v>
      </c>
      <c r="F169" s="134"/>
      <c r="G169" s="134">
        <f t="shared" ref="G169:K169" si="42">MIN(G167*$B169*PRJ_Step/360,F168)</f>
        <v>0</v>
      </c>
      <c r="H169" s="134">
        <f t="shared" si="42"/>
        <v>0</v>
      </c>
      <c r="I169" s="134">
        <f t="shared" si="42"/>
        <v>0</v>
      </c>
      <c r="J169" s="134">
        <f t="shared" si="42"/>
        <v>0</v>
      </c>
      <c r="K169" s="134">
        <f t="shared" si="42"/>
        <v>0</v>
      </c>
      <c r="M169" s="136">
        <f>SUM(G169:K169)</f>
        <v>0</v>
      </c>
    </row>
    <row r="170" spans="1:13" outlineLevel="1">
      <c r="A170" s="177"/>
    </row>
    <row r="171" spans="1:13" outlineLevel="1">
      <c r="A171" s="1" t="str">
        <f ca="1">OFFSET(Язык!$A811,0,LANGUAGE)</f>
        <v>Реализация основных средств (все строки без НДС):</v>
      </c>
      <c r="G171" s="217">
        <v>0</v>
      </c>
      <c r="H171" s="217">
        <v>0</v>
      </c>
      <c r="I171" s="217">
        <v>0</v>
      </c>
      <c r="J171" s="217">
        <v>0</v>
      </c>
      <c r="K171" s="217">
        <v>0</v>
      </c>
    </row>
    <row r="172" spans="1:13" outlineLevel="1">
      <c r="A172" s="1" t="str">
        <f ca="1">OFFSET(Язык!$A812,0,LANGUAGE)</f>
        <v xml:space="preserve">    остаточная стоимость реализуемых активов</v>
      </c>
      <c r="G172" s="217">
        <v>0</v>
      </c>
      <c r="H172" s="217">
        <v>0</v>
      </c>
      <c r="I172" s="217">
        <v>0</v>
      </c>
      <c r="J172" s="217">
        <v>0</v>
      </c>
      <c r="K172" s="217">
        <v>0</v>
      </c>
    </row>
    <row r="173" spans="1:13" outlineLevel="1">
      <c r="A173" s="1" t="str">
        <f ca="1">OFFSET(Язык!$A813,0,LANGUAGE)</f>
        <v xml:space="preserve">    затраты по реализации активов</v>
      </c>
      <c r="G173" s="217">
        <v>0</v>
      </c>
      <c r="H173" s="217">
        <v>0</v>
      </c>
      <c r="I173" s="217">
        <v>0</v>
      </c>
      <c r="J173" s="217">
        <v>0</v>
      </c>
      <c r="K173" s="217">
        <v>0</v>
      </c>
    </row>
    <row r="174" spans="1:13" outlineLevel="1">
      <c r="A174" s="1" t="str">
        <f ca="1">OFFSET(Язык!$A814,0,LANGUAGE)</f>
        <v xml:space="preserve">    прибыль (+) / убыток (-) от реализации активов</v>
      </c>
      <c r="G174" s="1">
        <f t="shared" ref="G174:J174" si="43">G171-G172-G173</f>
        <v>0</v>
      </c>
      <c r="H174" s="1">
        <f t="shared" si="43"/>
        <v>0</v>
      </c>
      <c r="I174" s="1">
        <f t="shared" si="43"/>
        <v>0</v>
      </c>
      <c r="J174" s="1">
        <f t="shared" si="43"/>
        <v>0</v>
      </c>
      <c r="K174" s="1">
        <f t="shared" ref="K174" si="44">K171-K172-K173</f>
        <v>0</v>
      </c>
    </row>
    <row r="175" spans="1:13" outlineLevel="1">
      <c r="A175" s="177"/>
    </row>
    <row r="176" spans="1:13" outlineLevel="1">
      <c r="A176" s="170" t="str">
        <f ca="1">OFFSET(Язык!$A815,0,LANGUAGE)</f>
        <v>НДС уплаченный по постоянным активам</v>
      </c>
      <c r="B176" s="221">
        <f>VAT</f>
        <v>0.12</v>
      </c>
      <c r="C176" s="170"/>
      <c r="D176" s="170"/>
      <c r="E176" s="170"/>
      <c r="F176" s="170"/>
      <c r="G176" s="170">
        <f t="shared" ref="G176:J176" si="45">G165*$B176</f>
        <v>0</v>
      </c>
      <c r="H176" s="170">
        <f t="shared" si="45"/>
        <v>0</v>
      </c>
      <c r="I176" s="170">
        <f t="shared" si="45"/>
        <v>0</v>
      </c>
      <c r="J176" s="170">
        <f t="shared" si="45"/>
        <v>0</v>
      </c>
      <c r="K176" s="170">
        <f t="shared" ref="K176" si="46">K165*$B176</f>
        <v>0</v>
      </c>
      <c r="L176" s="170"/>
      <c r="M176" s="170"/>
    </row>
    <row r="177" spans="1:13" outlineLevel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</row>
    <row r="178" spans="1:13" ht="12" outlineLevel="1" thickBot="1"/>
    <row r="179" spans="1:13" s="2" customFormat="1" ht="15.95" customHeight="1" thickTop="1" thickBot="1">
      <c r="A179" s="18" t="str">
        <f ca="1">OFFSET(Язык!$A816,0,LANGUAGE)</f>
        <v>ФИНАНСИРОВАНИЕ ДЕЯТЕЛЬНОСТИ КОМПАНИИ</v>
      </c>
      <c r="B179" s="19"/>
      <c r="C179" s="19"/>
      <c r="D179" s="18"/>
      <c r="E179" s="18"/>
      <c r="F179" s="190">
        <f>Проект!G29</f>
        <v>40179</v>
      </c>
      <c r="G179" s="19">
        <f t="shared" ref="G179:K179" si="47">PeriodTitle</f>
        <v>2013</v>
      </c>
      <c r="H179" s="19">
        <f t="shared" si="47"/>
        <v>2014</v>
      </c>
      <c r="I179" s="19">
        <f t="shared" si="47"/>
        <v>2015</v>
      </c>
      <c r="J179" s="19">
        <f t="shared" si="47"/>
        <v>2016</v>
      </c>
      <c r="K179" s="19">
        <f t="shared" si="47"/>
        <v>2017</v>
      </c>
      <c r="L179" s="19"/>
      <c r="M179" s="23" t="str">
        <f ca="1">OFFSET(Язык!$A$77,0,LANGUAGE)</f>
        <v>ИТОГО</v>
      </c>
    </row>
    <row r="180" spans="1:13" ht="12" outlineLevel="1" thickTop="1"/>
    <row r="181" spans="1:13" outlineLevel="1">
      <c r="A181" s="1" t="str">
        <f ca="1">OFFSET(Язык!$A817,0,LANGUAGE)</f>
        <v>Потребность в финансировании ЧОК</v>
      </c>
      <c r="C181" s="132" t="str">
        <f ca="1">CUR_Main</f>
        <v>$</v>
      </c>
      <c r="G181" s="134">
        <f t="shared" ref="G181:K181" si="48">G153-F153</f>
        <v>0</v>
      </c>
      <c r="H181" s="134">
        <f t="shared" si="48"/>
        <v>0</v>
      </c>
      <c r="I181" s="134">
        <f t="shared" si="48"/>
        <v>0</v>
      </c>
      <c r="J181" s="134">
        <f t="shared" si="48"/>
        <v>0</v>
      </c>
      <c r="K181" s="134">
        <f t="shared" si="48"/>
        <v>0</v>
      </c>
      <c r="L181" s="134"/>
      <c r="M181" s="136">
        <f>SUM(F181:K181)</f>
        <v>0</v>
      </c>
    </row>
    <row r="182" spans="1:13" outlineLevel="1">
      <c r="A182" s="1" t="str">
        <f ca="1">OFFSET(Язык!$A818,0,LANGUAGE)</f>
        <v>Потребность в финансировании внеоборотных активов (с НДС)</v>
      </c>
      <c r="C182" s="132" t="str">
        <f ca="1">CUR_Main</f>
        <v>$</v>
      </c>
      <c r="G182" s="134">
        <f t="shared" ref="G182:J182" si="49">G165+G176</f>
        <v>0</v>
      </c>
      <c r="H182" s="134">
        <f t="shared" si="49"/>
        <v>0</v>
      </c>
      <c r="I182" s="134">
        <f t="shared" si="49"/>
        <v>0</v>
      </c>
      <c r="J182" s="134">
        <f t="shared" si="49"/>
        <v>0</v>
      </c>
      <c r="K182" s="134">
        <f t="shared" ref="K182" si="50">K165+K176</f>
        <v>0</v>
      </c>
      <c r="L182" s="134"/>
      <c r="M182" s="136">
        <f>SUM(F182:K182)</f>
        <v>0</v>
      </c>
    </row>
    <row r="183" spans="1:13" outlineLevel="1">
      <c r="A183" s="1" t="str">
        <f ca="1">OFFSET(Язык!$A819,0,LANGUAGE)</f>
        <v xml:space="preserve"> = Инвестиционные затраты</v>
      </c>
      <c r="C183" s="132" t="str">
        <f ca="1">CUR_Main</f>
        <v>$</v>
      </c>
      <c r="G183" s="134">
        <f t="shared" ref="G183:J183" si="51">G181+G182</f>
        <v>0</v>
      </c>
      <c r="H183" s="134">
        <f t="shared" si="51"/>
        <v>0</v>
      </c>
      <c r="I183" s="134">
        <f t="shared" si="51"/>
        <v>0</v>
      </c>
      <c r="J183" s="134">
        <f t="shared" si="51"/>
        <v>0</v>
      </c>
      <c r="K183" s="134">
        <f t="shared" ref="K183" si="52">K181+K182</f>
        <v>0</v>
      </c>
      <c r="L183" s="134"/>
      <c r="M183" s="136">
        <f>SUM(F183:K183)</f>
        <v>0</v>
      </c>
    </row>
    <row r="184" spans="1:13" outlineLevel="1">
      <c r="G184" s="134"/>
      <c r="H184" s="134"/>
      <c r="I184" s="134"/>
      <c r="J184" s="134"/>
      <c r="K184" s="134"/>
      <c r="L184" s="134"/>
      <c r="M184" s="134"/>
    </row>
    <row r="185" spans="1:13" outlineLevel="1">
      <c r="A185" s="1" t="str">
        <f ca="1">OFFSET(Язык!$A820,0,LANGUAGE)</f>
        <v>Увеличение уставного капитала</v>
      </c>
      <c r="C185" s="132" t="str">
        <f ca="1">CUR_Main</f>
        <v>$</v>
      </c>
      <c r="G185" s="178">
        <v>0</v>
      </c>
      <c r="H185" s="178">
        <v>0</v>
      </c>
      <c r="I185" s="178">
        <v>0</v>
      </c>
      <c r="J185" s="178">
        <v>0</v>
      </c>
      <c r="K185" s="178">
        <v>0</v>
      </c>
      <c r="L185" s="134"/>
      <c r="M185" s="136">
        <f>SUM(F185:K185)</f>
        <v>0</v>
      </c>
    </row>
    <row r="186" spans="1:13" outlineLevel="1">
      <c r="A186" s="1" t="str">
        <f ca="1">OFFSET(Язык!$A821,0,LANGUAGE)</f>
        <v>= Уставный капитал</v>
      </c>
      <c r="C186" s="132" t="str">
        <f ca="1">CUR_Main</f>
        <v>$</v>
      </c>
      <c r="D186" s="1" t="s">
        <v>1736</v>
      </c>
      <c r="F186" s="134">
        <f>G51</f>
        <v>0</v>
      </c>
      <c r="G186" s="134">
        <f t="shared" ref="G186:K186" si="53">F186+G185</f>
        <v>0</v>
      </c>
      <c r="H186" s="134">
        <f t="shared" si="53"/>
        <v>0</v>
      </c>
      <c r="I186" s="134">
        <f t="shared" si="53"/>
        <v>0</v>
      </c>
      <c r="J186" s="134">
        <f t="shared" si="53"/>
        <v>0</v>
      </c>
      <c r="K186" s="134">
        <f t="shared" si="53"/>
        <v>0</v>
      </c>
      <c r="L186" s="134"/>
      <c r="M186" s="134"/>
    </row>
    <row r="187" spans="1:13" outlineLevel="1">
      <c r="G187" s="134"/>
      <c r="H187" s="134"/>
      <c r="I187" s="134"/>
      <c r="J187" s="134"/>
      <c r="K187" s="134"/>
      <c r="L187" s="134"/>
      <c r="M187" s="134"/>
    </row>
    <row r="188" spans="1:13" outlineLevel="1">
      <c r="A188" s="222" t="str">
        <f ca="1">OFFSET(Язык!$A822,0,LANGUAGE)</f>
        <v xml:space="preserve">Краткосрочные кредиты </v>
      </c>
      <c r="G188" s="134"/>
      <c r="H188" s="134"/>
      <c r="I188" s="134"/>
      <c r="J188" s="134"/>
      <c r="K188" s="134"/>
      <c r="L188" s="134"/>
      <c r="M188" s="134"/>
    </row>
    <row r="189" spans="1:13" outlineLevel="1">
      <c r="A189" s="1" t="str">
        <f ca="1">OFFSET(Язык!$A823,0,LANGUAGE)</f>
        <v>Увеличение задолженности</v>
      </c>
      <c r="C189" s="132" t="str">
        <f ca="1">CUR_Main</f>
        <v>$</v>
      </c>
      <c r="G189" s="178">
        <v>0</v>
      </c>
      <c r="H189" s="178">
        <v>0</v>
      </c>
      <c r="I189" s="178">
        <v>0</v>
      </c>
      <c r="J189" s="178">
        <v>0</v>
      </c>
      <c r="K189" s="178">
        <v>0</v>
      </c>
      <c r="L189" s="134"/>
      <c r="M189" s="136">
        <f>SUM(F189:K189)</f>
        <v>0</v>
      </c>
    </row>
    <row r="190" spans="1:13" outlineLevel="1">
      <c r="A190" s="1" t="str">
        <f ca="1">OFFSET(Язык!$A824,0,LANGUAGE)</f>
        <v>Погашение задолженности</v>
      </c>
      <c r="C190" s="132" t="str">
        <f ca="1">CUR_Main</f>
        <v>$</v>
      </c>
      <c r="G190" s="178">
        <v>0</v>
      </c>
      <c r="H190" s="178">
        <v>0</v>
      </c>
      <c r="I190" s="178">
        <v>0</v>
      </c>
      <c r="J190" s="178">
        <v>0</v>
      </c>
      <c r="K190" s="178">
        <v>0</v>
      </c>
      <c r="L190" s="134"/>
      <c r="M190" s="136">
        <f>SUM(F190:K190)</f>
        <v>0</v>
      </c>
    </row>
    <row r="191" spans="1:13" outlineLevel="1">
      <c r="A191" s="1" t="str">
        <f ca="1">OFFSET(Язык!$A825,0,LANGUAGE)</f>
        <v>Задолженность по кредитам</v>
      </c>
      <c r="C191" s="132" t="str">
        <f ca="1">CUR_Main</f>
        <v>$</v>
      </c>
      <c r="D191" s="1" t="s">
        <v>1736</v>
      </c>
      <c r="F191" s="134">
        <f>G66</f>
        <v>0</v>
      </c>
      <c r="G191" s="134">
        <f t="shared" ref="G191:K191" si="54">F191+G189-G190</f>
        <v>0</v>
      </c>
      <c r="H191" s="134">
        <f t="shared" si="54"/>
        <v>0</v>
      </c>
      <c r="I191" s="134">
        <f t="shared" si="54"/>
        <v>0</v>
      </c>
      <c r="J191" s="134">
        <f t="shared" si="54"/>
        <v>0</v>
      </c>
      <c r="K191" s="134">
        <f t="shared" si="54"/>
        <v>0</v>
      </c>
      <c r="L191" s="134"/>
      <c r="M191" s="134"/>
    </row>
    <row r="192" spans="1:13" outlineLevel="1">
      <c r="A192" s="1" t="str">
        <f ca="1">OFFSET(Язык!$A826,0,LANGUAGE)</f>
        <v>Проценты по кредитам</v>
      </c>
      <c r="B192" s="199">
        <v>0.15</v>
      </c>
      <c r="C192" s="132" t="str">
        <f ca="1">CUR_Main</f>
        <v>$</v>
      </c>
      <c r="G192" s="134">
        <f t="shared" ref="G192:K192" si="55">F191*$B192*PRJ_Step/360</f>
        <v>0</v>
      </c>
      <c r="H192" s="134">
        <f t="shared" si="55"/>
        <v>0</v>
      </c>
      <c r="I192" s="134">
        <f t="shared" si="55"/>
        <v>0</v>
      </c>
      <c r="J192" s="134">
        <f t="shared" si="55"/>
        <v>0</v>
      </c>
      <c r="K192" s="134">
        <f t="shared" si="55"/>
        <v>0</v>
      </c>
      <c r="L192" s="134"/>
      <c r="M192" s="136">
        <f>SUM(F192:K192)</f>
        <v>0</v>
      </c>
    </row>
    <row r="193" spans="1:13" outlineLevel="1">
      <c r="G193" s="134"/>
      <c r="H193" s="134"/>
      <c r="I193" s="134"/>
      <c r="J193" s="134"/>
      <c r="K193" s="134"/>
      <c r="L193" s="134"/>
      <c r="M193" s="134"/>
    </row>
    <row r="194" spans="1:13" outlineLevel="1">
      <c r="A194" s="222" t="str">
        <f ca="1">OFFSET(Язык!$A827,0,LANGUAGE)</f>
        <v xml:space="preserve">Долгосрочные кредиты </v>
      </c>
      <c r="G194" s="134"/>
      <c r="H194" s="134"/>
      <c r="I194" s="134"/>
      <c r="J194" s="134"/>
      <c r="K194" s="134"/>
      <c r="L194" s="134"/>
      <c r="M194" s="134"/>
    </row>
    <row r="195" spans="1:13" outlineLevel="1">
      <c r="A195" s="1" t="str">
        <f ca="1">OFFSET(Язык!$A828,0,LANGUAGE)</f>
        <v>Увеличение задолженности</v>
      </c>
      <c r="C195" s="132" t="str">
        <f ca="1">CUR_Main</f>
        <v>$</v>
      </c>
      <c r="G195" s="178">
        <v>0</v>
      </c>
      <c r="H195" s="178">
        <v>0</v>
      </c>
      <c r="I195" s="178">
        <v>0</v>
      </c>
      <c r="J195" s="178">
        <v>0</v>
      </c>
      <c r="K195" s="178">
        <v>0</v>
      </c>
      <c r="L195" s="134"/>
      <c r="M195" s="136">
        <f>SUM(F195:K195)</f>
        <v>0</v>
      </c>
    </row>
    <row r="196" spans="1:13" outlineLevel="1">
      <c r="A196" s="1" t="str">
        <f ca="1">OFFSET(Язык!$A829,0,LANGUAGE)</f>
        <v>Погашение задолженности</v>
      </c>
      <c r="C196" s="132" t="str">
        <f ca="1">CUR_Main</f>
        <v>$</v>
      </c>
      <c r="G196" s="178">
        <v>0</v>
      </c>
      <c r="H196" s="178">
        <v>0</v>
      </c>
      <c r="I196" s="178">
        <v>0</v>
      </c>
      <c r="J196" s="178">
        <v>0</v>
      </c>
      <c r="K196" s="178">
        <v>0</v>
      </c>
      <c r="L196" s="134"/>
      <c r="M196" s="136">
        <f>SUM(F196:K196)</f>
        <v>0</v>
      </c>
    </row>
    <row r="197" spans="1:13" outlineLevel="1">
      <c r="A197" s="1" t="str">
        <f ca="1">OFFSET(Язык!$A830,0,LANGUAGE)</f>
        <v>Задолженность по кредитам</v>
      </c>
      <c r="C197" s="132" t="str">
        <f ca="1">CUR_Main</f>
        <v>$</v>
      </c>
      <c r="D197" s="1" t="s">
        <v>1736</v>
      </c>
      <c r="F197" s="134">
        <f>G61</f>
        <v>0</v>
      </c>
      <c r="G197" s="134">
        <f t="shared" ref="G197:K197" si="56">F197+G195-G196</f>
        <v>0</v>
      </c>
      <c r="H197" s="134">
        <f t="shared" si="56"/>
        <v>0</v>
      </c>
      <c r="I197" s="134">
        <f t="shared" si="56"/>
        <v>0</v>
      </c>
      <c r="J197" s="134">
        <f t="shared" si="56"/>
        <v>0</v>
      </c>
      <c r="K197" s="134">
        <f t="shared" si="56"/>
        <v>0</v>
      </c>
      <c r="L197" s="134"/>
      <c r="M197" s="134"/>
    </row>
    <row r="198" spans="1:13" outlineLevel="1">
      <c r="A198" s="1" t="str">
        <f ca="1">OFFSET(Язык!$A831,0,LANGUAGE)</f>
        <v>Проценты по кредитам</v>
      </c>
      <c r="B198" s="199">
        <v>0.15</v>
      </c>
      <c r="C198" s="132" t="str">
        <f ca="1">CUR_Main</f>
        <v>$</v>
      </c>
      <c r="G198" s="134">
        <f t="shared" ref="G198:K198" si="57">F197*$B198*PRJ_Step/360</f>
        <v>0</v>
      </c>
      <c r="H198" s="134">
        <f t="shared" si="57"/>
        <v>0</v>
      </c>
      <c r="I198" s="134">
        <f t="shared" si="57"/>
        <v>0</v>
      </c>
      <c r="J198" s="134">
        <f t="shared" si="57"/>
        <v>0</v>
      </c>
      <c r="K198" s="134">
        <f t="shared" si="57"/>
        <v>0</v>
      </c>
      <c r="L198" s="134"/>
      <c r="M198" s="136">
        <f>SUM(F198:K198)</f>
        <v>0</v>
      </c>
    </row>
    <row r="199" spans="1:13" outlineLevel="1">
      <c r="G199" s="134"/>
      <c r="H199" s="134"/>
      <c r="I199" s="134"/>
      <c r="J199" s="134"/>
      <c r="K199" s="134"/>
      <c r="L199" s="134"/>
      <c r="M199" s="134"/>
    </row>
    <row r="200" spans="1:13" outlineLevel="1">
      <c r="A200" s="1" t="str">
        <f ca="1">OFFSET(Язык!$A832,0,LANGUAGE)</f>
        <v xml:space="preserve"> = Источники финансирования</v>
      </c>
      <c r="C200" s="132" t="str">
        <f ca="1">CUR_Main</f>
        <v>$</v>
      </c>
      <c r="G200" s="134">
        <f t="shared" ref="G200:J200" si="58">G185+G189+G195</f>
        <v>0</v>
      </c>
      <c r="H200" s="134">
        <f t="shared" si="58"/>
        <v>0</v>
      </c>
      <c r="I200" s="134">
        <f t="shared" si="58"/>
        <v>0</v>
      </c>
      <c r="J200" s="134">
        <f t="shared" si="58"/>
        <v>0</v>
      </c>
      <c r="K200" s="134">
        <f t="shared" ref="K200" si="59">K185+K189+K195</f>
        <v>0</v>
      </c>
      <c r="L200" s="134"/>
      <c r="M200" s="136">
        <f>SUM(F200:K200)</f>
        <v>0</v>
      </c>
    </row>
    <row r="201" spans="1:13" outlineLevel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</row>
    <row r="202" spans="1:13" outlineLevel="1"/>
    <row r="203" spans="1:13" ht="12" outlineLevel="1" thickBot="1"/>
    <row r="204" spans="1:13" s="2" customFormat="1" ht="15.95" customHeight="1" thickTop="1" thickBot="1">
      <c r="A204" s="18" t="str">
        <f ca="1">OFFSET(Язык!$A375,0,LANGUAGE)</f>
        <v>ОТЧЕТ О ПРИБЫЛЯХ И УБЫТКАХ</v>
      </c>
      <c r="B204" s="19"/>
      <c r="C204" s="19"/>
      <c r="D204" s="18"/>
      <c r="E204" s="18"/>
      <c r="F204" s="190">
        <f>Проект!G29</f>
        <v>40179</v>
      </c>
      <c r="G204" s="19">
        <f t="shared" ref="G204:K204" si="60">PeriodTitle</f>
        <v>2013</v>
      </c>
      <c r="H204" s="19">
        <f t="shared" si="60"/>
        <v>2014</v>
      </c>
      <c r="I204" s="19">
        <f t="shared" si="60"/>
        <v>2015</v>
      </c>
      <c r="J204" s="19">
        <f t="shared" si="60"/>
        <v>2016</v>
      </c>
      <c r="K204" s="19">
        <f t="shared" si="60"/>
        <v>2017</v>
      </c>
      <c r="L204" s="19"/>
      <c r="M204" s="23" t="str">
        <f ca="1">OFFSET(Язык!$A$77,0,LANGUAGE)</f>
        <v>ИТОГО</v>
      </c>
    </row>
    <row r="205" spans="1:13" ht="12" outlineLevel="1" thickTop="1"/>
    <row r="206" spans="1:13" outlineLevel="1">
      <c r="A206" s="32" t="str">
        <f ca="1">OFFSET(Язык!$A$376,0,LANGUAGE)</f>
        <v>Выручка (нетто)</v>
      </c>
      <c r="C206" s="132" t="str">
        <f t="shared" ref="C206:C225" ca="1" si="61">CUR_Main</f>
        <v>$</v>
      </c>
      <c r="F206" s="134">
        <f t="shared" ref="F206:J206" si="62">F114</f>
        <v>0</v>
      </c>
      <c r="G206" s="134">
        <f t="shared" si="62"/>
        <v>0</v>
      </c>
      <c r="H206" s="134">
        <f t="shared" si="62"/>
        <v>0</v>
      </c>
      <c r="I206" s="134">
        <f t="shared" si="62"/>
        <v>0</v>
      </c>
      <c r="J206" s="134">
        <f t="shared" si="62"/>
        <v>0</v>
      </c>
      <c r="K206" s="134">
        <f t="shared" ref="K206" si="63">K114</f>
        <v>0</v>
      </c>
      <c r="L206" s="134"/>
      <c r="M206" s="136">
        <f t="shared" ref="M206:M225" si="64">SUM(G206:K206)</f>
        <v>0</v>
      </c>
    </row>
    <row r="207" spans="1:13" outlineLevel="1">
      <c r="A207" s="47" t="str">
        <f ca="1">OFFSET(Язык!$A$377,0,LANGUAGE)</f>
        <v xml:space="preserve"> -  Себестоимость проданных товаров</v>
      </c>
      <c r="C207" s="132" t="str">
        <f t="shared" ca="1" si="61"/>
        <v>$</v>
      </c>
      <c r="F207" s="134">
        <f t="shared" ref="F207:J207" si="65">SUM(F208:F213)</f>
        <v>0</v>
      </c>
      <c r="G207" s="134">
        <f t="shared" si="65"/>
        <v>0</v>
      </c>
      <c r="H207" s="134">
        <f t="shared" si="65"/>
        <v>0</v>
      </c>
      <c r="I207" s="134">
        <f t="shared" si="65"/>
        <v>0</v>
      </c>
      <c r="J207" s="134">
        <f t="shared" si="65"/>
        <v>0</v>
      </c>
      <c r="K207" s="134">
        <f t="shared" ref="K207" si="66">SUM(K208:K213)</f>
        <v>0</v>
      </c>
      <c r="L207" s="134"/>
      <c r="M207" s="136">
        <f t="shared" si="64"/>
        <v>0</v>
      </c>
    </row>
    <row r="208" spans="1:13" outlineLevel="1">
      <c r="A208" s="47" t="str">
        <f ca="1">OFFSET(Язык!$A$378,0,LANGUAGE)</f>
        <v xml:space="preserve">    материалы и комплектующие</v>
      </c>
      <c r="C208" s="132" t="str">
        <f t="shared" ca="1" si="61"/>
        <v>$</v>
      </c>
      <c r="F208" s="134">
        <f t="shared" ref="F208:F213" si="67">F123</f>
        <v>0</v>
      </c>
      <c r="G208" s="134">
        <f t="shared" ref="G208:J208" si="68">G123</f>
        <v>0</v>
      </c>
      <c r="H208" s="134">
        <f t="shared" si="68"/>
        <v>0</v>
      </c>
      <c r="I208" s="134">
        <f t="shared" si="68"/>
        <v>0</v>
      </c>
      <c r="J208" s="134">
        <f t="shared" si="68"/>
        <v>0</v>
      </c>
      <c r="K208" s="134">
        <f t="shared" ref="K208" si="69">K123</f>
        <v>0</v>
      </c>
      <c r="L208" s="134"/>
      <c r="M208" s="136">
        <f t="shared" si="64"/>
        <v>0</v>
      </c>
    </row>
    <row r="209" spans="1:13" outlineLevel="1">
      <c r="A209" s="47" t="str">
        <f ca="1">OFFSET(Язык!$A$379,0,LANGUAGE)</f>
        <v xml:space="preserve">    оплата труда</v>
      </c>
      <c r="C209" s="132" t="str">
        <f t="shared" ca="1" si="61"/>
        <v>$</v>
      </c>
      <c r="F209" s="134">
        <f t="shared" si="67"/>
        <v>0</v>
      </c>
      <c r="G209" s="134">
        <f t="shared" ref="G209:J209" si="70">G124</f>
        <v>0</v>
      </c>
      <c r="H209" s="134">
        <f t="shared" si="70"/>
        <v>0</v>
      </c>
      <c r="I209" s="134">
        <f t="shared" si="70"/>
        <v>0</v>
      </c>
      <c r="J209" s="134">
        <f t="shared" si="70"/>
        <v>0</v>
      </c>
      <c r="K209" s="134">
        <f t="shared" ref="K209" si="71">K124</f>
        <v>0</v>
      </c>
      <c r="L209" s="134"/>
      <c r="M209" s="136">
        <f t="shared" si="64"/>
        <v>0</v>
      </c>
    </row>
    <row r="210" spans="1:13" outlineLevel="1">
      <c r="A210" s="47" t="str">
        <f ca="1">OFFSET(Язык!$A$380,0,LANGUAGE)</f>
        <v xml:space="preserve">    налоги, относимые на текущие затраты</v>
      </c>
      <c r="C210" s="132" t="str">
        <f t="shared" ca="1" si="61"/>
        <v>$</v>
      </c>
      <c r="F210" s="134">
        <f t="shared" si="67"/>
        <v>0</v>
      </c>
      <c r="G210" s="134">
        <f t="shared" ref="G210:J210" si="72">G125</f>
        <v>0</v>
      </c>
      <c r="H210" s="134">
        <f t="shared" si="72"/>
        <v>0</v>
      </c>
      <c r="I210" s="134">
        <f t="shared" si="72"/>
        <v>0</v>
      </c>
      <c r="J210" s="134">
        <f t="shared" si="72"/>
        <v>0</v>
      </c>
      <c r="K210" s="134">
        <f t="shared" ref="K210" si="73">K125</f>
        <v>0</v>
      </c>
      <c r="L210" s="134"/>
      <c r="M210" s="136">
        <f t="shared" si="64"/>
        <v>0</v>
      </c>
    </row>
    <row r="211" spans="1:13" outlineLevel="1">
      <c r="A211" s="47" t="str">
        <f ca="1">OFFSET(Язык!$A$381,0,LANGUAGE)</f>
        <v xml:space="preserve">    производственные расходы</v>
      </c>
      <c r="C211" s="132" t="str">
        <f t="shared" ca="1" si="61"/>
        <v>$</v>
      </c>
      <c r="F211" s="134">
        <f t="shared" si="67"/>
        <v>0</v>
      </c>
      <c r="G211" s="134">
        <f t="shared" ref="G211:J211" si="74">G126</f>
        <v>0</v>
      </c>
      <c r="H211" s="134">
        <f t="shared" si="74"/>
        <v>0</v>
      </c>
      <c r="I211" s="134">
        <f t="shared" si="74"/>
        <v>0</v>
      </c>
      <c r="J211" s="134">
        <f t="shared" si="74"/>
        <v>0</v>
      </c>
      <c r="K211" s="134">
        <f t="shared" ref="K211" si="75">K126</f>
        <v>0</v>
      </c>
      <c r="L211" s="134"/>
      <c r="M211" s="136">
        <f t="shared" si="64"/>
        <v>0</v>
      </c>
    </row>
    <row r="212" spans="1:13" outlineLevel="1">
      <c r="A212" s="47" t="str">
        <f ca="1">OFFSET(Язык!$A$382,0,LANGUAGE)</f>
        <v xml:space="preserve">    начисленные лизинговые платежи</v>
      </c>
      <c r="C212" s="132" t="str">
        <f t="shared" ca="1" si="61"/>
        <v>$</v>
      </c>
      <c r="F212" s="134">
        <f t="shared" si="67"/>
        <v>0</v>
      </c>
      <c r="G212" s="134">
        <f t="shared" ref="G212:J212" si="76">G127</f>
        <v>0</v>
      </c>
      <c r="H212" s="134">
        <f t="shared" si="76"/>
        <v>0</v>
      </c>
      <c r="I212" s="134">
        <f t="shared" si="76"/>
        <v>0</v>
      </c>
      <c r="J212" s="134">
        <f t="shared" si="76"/>
        <v>0</v>
      </c>
      <c r="K212" s="134">
        <f t="shared" ref="K212" si="77">K127</f>
        <v>0</v>
      </c>
      <c r="L212" s="134"/>
      <c r="M212" s="136">
        <f t="shared" si="64"/>
        <v>0</v>
      </c>
    </row>
    <row r="213" spans="1:13" outlineLevel="1">
      <c r="A213" s="47" t="str">
        <f ca="1">OFFSET(Язык!$A$383,0,LANGUAGE)</f>
        <v xml:space="preserve">    амортизация</v>
      </c>
      <c r="C213" s="132" t="str">
        <f t="shared" ca="1" si="61"/>
        <v>$</v>
      </c>
      <c r="F213" s="134">
        <f t="shared" si="67"/>
        <v>0</v>
      </c>
      <c r="G213" s="134">
        <f t="shared" ref="G213:J213" si="78">G128</f>
        <v>0</v>
      </c>
      <c r="H213" s="134">
        <f t="shared" si="78"/>
        <v>0</v>
      </c>
      <c r="I213" s="134">
        <f t="shared" si="78"/>
        <v>0</v>
      </c>
      <c r="J213" s="134">
        <f t="shared" si="78"/>
        <v>0</v>
      </c>
      <c r="K213" s="134">
        <f t="shared" ref="K213" si="79">K128</f>
        <v>0</v>
      </c>
      <c r="L213" s="134"/>
      <c r="M213" s="136">
        <f t="shared" si="64"/>
        <v>0</v>
      </c>
    </row>
    <row r="214" spans="1:13" outlineLevel="1">
      <c r="A214" s="32" t="str">
        <f ca="1">OFFSET(Язык!$A$384,0,LANGUAGE)</f>
        <v>Валовая прибыль</v>
      </c>
      <c r="C214" s="132" t="str">
        <f t="shared" ca="1" si="61"/>
        <v>$</v>
      </c>
      <c r="F214" s="134">
        <f t="shared" ref="F214:J214" si="80">F206-F207</f>
        <v>0</v>
      </c>
      <c r="G214" s="134">
        <f t="shared" si="80"/>
        <v>0</v>
      </c>
      <c r="H214" s="134">
        <f t="shared" si="80"/>
        <v>0</v>
      </c>
      <c r="I214" s="134">
        <f t="shared" si="80"/>
        <v>0</v>
      </c>
      <c r="J214" s="134">
        <f t="shared" si="80"/>
        <v>0</v>
      </c>
      <c r="K214" s="134">
        <f t="shared" ref="K214" si="81">K206-K207</f>
        <v>0</v>
      </c>
      <c r="L214" s="134"/>
      <c r="M214" s="136">
        <f t="shared" si="64"/>
        <v>0</v>
      </c>
    </row>
    <row r="215" spans="1:13" outlineLevel="1">
      <c r="A215" s="47" t="str">
        <f ca="1">OFFSET(Язык!$A$385,0,LANGUAGE)</f>
        <v xml:space="preserve"> -  Коммерческие расходы</v>
      </c>
      <c r="C215" s="132" t="str">
        <f t="shared" ca="1" si="61"/>
        <v>$</v>
      </c>
      <c r="F215" s="134">
        <f t="shared" ref="F215:J215" si="82">F129</f>
        <v>0</v>
      </c>
      <c r="G215" s="134">
        <f t="shared" si="82"/>
        <v>0</v>
      </c>
      <c r="H215" s="134">
        <f t="shared" si="82"/>
        <v>0</v>
      </c>
      <c r="I215" s="134">
        <f t="shared" si="82"/>
        <v>0</v>
      </c>
      <c r="J215" s="134">
        <f t="shared" si="82"/>
        <v>0</v>
      </c>
      <c r="K215" s="134">
        <f t="shared" ref="K215" si="83">K129</f>
        <v>0</v>
      </c>
      <c r="L215" s="134"/>
      <c r="M215" s="136">
        <f t="shared" si="64"/>
        <v>0</v>
      </c>
    </row>
    <row r="216" spans="1:13" outlineLevel="1">
      <c r="A216" s="47" t="str">
        <f ca="1">OFFSET(Язык!$A$386,0,LANGUAGE)</f>
        <v xml:space="preserve"> -  Административные расходы</v>
      </c>
      <c r="C216" s="132" t="str">
        <f t="shared" ca="1" si="61"/>
        <v>$</v>
      </c>
      <c r="F216" s="134">
        <f t="shared" ref="F216:J216" si="84">F130</f>
        <v>0</v>
      </c>
      <c r="G216" s="134">
        <f t="shared" si="84"/>
        <v>0</v>
      </c>
      <c r="H216" s="134">
        <f t="shared" si="84"/>
        <v>0</v>
      </c>
      <c r="I216" s="134">
        <f t="shared" si="84"/>
        <v>0</v>
      </c>
      <c r="J216" s="134">
        <f t="shared" si="84"/>
        <v>0</v>
      </c>
      <c r="K216" s="134">
        <f t="shared" ref="K216" si="85">K130</f>
        <v>0</v>
      </c>
      <c r="L216" s="134"/>
      <c r="M216" s="136">
        <f t="shared" si="64"/>
        <v>0</v>
      </c>
    </row>
    <row r="217" spans="1:13" outlineLevel="1">
      <c r="A217" s="32" t="str">
        <f ca="1">OFFSET(Язык!$A$387,0,LANGUAGE)</f>
        <v>Прибыль (убыток) от продаж</v>
      </c>
      <c r="C217" s="132" t="str">
        <f t="shared" ca="1" si="61"/>
        <v>$</v>
      </c>
      <c r="F217" s="134">
        <f t="shared" ref="F217:J217" si="86">F214-F215-F216</f>
        <v>0</v>
      </c>
      <c r="G217" s="134">
        <f t="shared" si="86"/>
        <v>0</v>
      </c>
      <c r="H217" s="134">
        <f t="shared" si="86"/>
        <v>0</v>
      </c>
      <c r="I217" s="134">
        <f t="shared" si="86"/>
        <v>0</v>
      </c>
      <c r="J217" s="134">
        <f t="shared" si="86"/>
        <v>0</v>
      </c>
      <c r="K217" s="134">
        <f t="shared" ref="K217" si="87">K214-K215-K216</f>
        <v>0</v>
      </c>
      <c r="L217" s="134"/>
      <c r="M217" s="136">
        <f t="shared" si="64"/>
        <v>0</v>
      </c>
    </row>
    <row r="218" spans="1:13" outlineLevel="1">
      <c r="A218" s="47" t="str">
        <f ca="1">OFFSET(Язык!$A$388,0,LANGUAGE)</f>
        <v xml:space="preserve"> -  Налоги, относимые на финансовые результаты</v>
      </c>
      <c r="C218" s="132" t="str">
        <f t="shared" ca="1" si="61"/>
        <v>$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/>
      <c r="M218" s="136">
        <f t="shared" si="64"/>
        <v>0</v>
      </c>
    </row>
    <row r="219" spans="1:13" outlineLevel="1">
      <c r="A219" s="47" t="str">
        <f ca="1">OFFSET(Язык!$A$389,0,LANGUAGE)</f>
        <v xml:space="preserve"> -  Проценты к уплате</v>
      </c>
      <c r="C219" s="132" t="str">
        <f t="shared" ca="1" si="61"/>
        <v>$</v>
      </c>
      <c r="F219" s="134">
        <f>$H93</f>
        <v>0</v>
      </c>
      <c r="G219" s="134">
        <f t="shared" ref="G219:J219" si="88">G198+G192</f>
        <v>0</v>
      </c>
      <c r="H219" s="134">
        <f t="shared" si="88"/>
        <v>0</v>
      </c>
      <c r="I219" s="134">
        <f t="shared" si="88"/>
        <v>0</v>
      </c>
      <c r="J219" s="134">
        <f t="shared" si="88"/>
        <v>0</v>
      </c>
      <c r="K219" s="134">
        <f t="shared" ref="K219" si="89">K198+K192</f>
        <v>0</v>
      </c>
      <c r="L219" s="134"/>
      <c r="M219" s="136">
        <f t="shared" si="64"/>
        <v>0</v>
      </c>
    </row>
    <row r="220" spans="1:13" outlineLevel="1">
      <c r="A220" s="47" t="str">
        <f ca="1">OFFSET(Язык!$A$390,0,LANGUAGE)</f>
        <v xml:space="preserve"> + Прибыль (убыток) от прочей реализации</v>
      </c>
      <c r="C220" s="132" t="str">
        <f t="shared" ca="1" si="61"/>
        <v>$</v>
      </c>
      <c r="F220" s="134">
        <f>$H95-$H96</f>
        <v>0</v>
      </c>
      <c r="G220" s="134">
        <f t="shared" ref="G220:J220" si="90">$H95-$H96+G174</f>
        <v>0</v>
      </c>
      <c r="H220" s="134">
        <f t="shared" si="90"/>
        <v>0</v>
      </c>
      <c r="I220" s="134">
        <f t="shared" si="90"/>
        <v>0</v>
      </c>
      <c r="J220" s="134">
        <f t="shared" si="90"/>
        <v>0</v>
      </c>
      <c r="K220" s="134">
        <f t="shared" ref="K220" si="91">$H95-$H96+K174</f>
        <v>0</v>
      </c>
      <c r="L220" s="134"/>
      <c r="M220" s="136">
        <f t="shared" si="64"/>
        <v>0</v>
      </c>
    </row>
    <row r="221" spans="1:13" outlineLevel="1">
      <c r="A221" s="47" t="str">
        <f ca="1">OFFSET(Язык!$A$391,0,LANGUAGE)</f>
        <v xml:space="preserve"> + Курсовая разница и доходы от конвертации</v>
      </c>
      <c r="C221" s="132" t="str">
        <f t="shared" ca="1" si="61"/>
        <v>$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/>
      <c r="M221" s="136">
        <f t="shared" si="64"/>
        <v>0</v>
      </c>
    </row>
    <row r="222" spans="1:13" outlineLevel="1">
      <c r="A222" s="47" t="str">
        <f ca="1">OFFSET(Язык!$A$392,0,LANGUAGE)</f>
        <v xml:space="preserve"> + Прочие внереализационные доходы (расходы)</v>
      </c>
      <c r="C222" s="132" t="str">
        <f t="shared" ca="1" si="61"/>
        <v>$</v>
      </c>
      <c r="F222" s="134">
        <f t="shared" ref="F222:J222" si="92">$H97-$H98</f>
        <v>0</v>
      </c>
      <c r="G222" s="134">
        <f t="shared" si="92"/>
        <v>0</v>
      </c>
      <c r="H222" s="134">
        <f t="shared" si="92"/>
        <v>0</v>
      </c>
      <c r="I222" s="134">
        <f t="shared" si="92"/>
        <v>0</v>
      </c>
      <c r="J222" s="134">
        <f t="shared" si="92"/>
        <v>0</v>
      </c>
      <c r="K222" s="134">
        <f t="shared" ref="K222" si="93">$H97-$H98</f>
        <v>0</v>
      </c>
      <c r="L222" s="134"/>
      <c r="M222" s="136">
        <f t="shared" si="64"/>
        <v>0</v>
      </c>
    </row>
    <row r="223" spans="1:13" outlineLevel="1">
      <c r="A223" s="32" t="str">
        <f ca="1">OFFSET(Язык!$A$393,0,LANGUAGE)</f>
        <v>Прибыль до налогообложения</v>
      </c>
      <c r="C223" s="132" t="str">
        <f t="shared" ca="1" si="61"/>
        <v>$</v>
      </c>
      <c r="F223" s="134">
        <f t="shared" ref="F223:J223" si="94">F217-F218-F219+F220+F221+F222</f>
        <v>0</v>
      </c>
      <c r="G223" s="134">
        <f t="shared" si="94"/>
        <v>0</v>
      </c>
      <c r="H223" s="134">
        <f t="shared" si="94"/>
        <v>0</v>
      </c>
      <c r="I223" s="134">
        <f t="shared" si="94"/>
        <v>0</v>
      </c>
      <c r="J223" s="134">
        <f t="shared" si="94"/>
        <v>0</v>
      </c>
      <c r="K223" s="134">
        <f t="shared" ref="K223" si="95">K217-K218-K219+K220+K221+K222</f>
        <v>0</v>
      </c>
      <c r="L223" s="134"/>
      <c r="M223" s="136">
        <f t="shared" si="64"/>
        <v>0</v>
      </c>
    </row>
    <row r="224" spans="1:13" outlineLevel="1">
      <c r="A224" s="47" t="str">
        <f ca="1">OFFSET(Язык!$A$394,0,LANGUAGE)</f>
        <v xml:space="preserve"> -  Налог на прибыль</v>
      </c>
      <c r="B224" s="184">
        <f>ProfitTax</f>
        <v>0.2</v>
      </c>
      <c r="C224" s="132" t="str">
        <f t="shared" ca="1" si="61"/>
        <v>$</v>
      </c>
      <c r="F224" s="134">
        <f>$H102</f>
        <v>0</v>
      </c>
      <c r="G224" s="134">
        <f t="shared" ref="G224:J224" si="96">MAX(G223*$B224,0)</f>
        <v>0</v>
      </c>
      <c r="H224" s="134">
        <f t="shared" si="96"/>
        <v>0</v>
      </c>
      <c r="I224" s="134">
        <f t="shared" si="96"/>
        <v>0</v>
      </c>
      <c r="J224" s="134">
        <f t="shared" si="96"/>
        <v>0</v>
      </c>
      <c r="K224" s="134">
        <f t="shared" ref="K224" si="97">MAX(K223*$B224,0)</f>
        <v>0</v>
      </c>
      <c r="L224" s="134"/>
      <c r="M224" s="136">
        <f t="shared" si="64"/>
        <v>0</v>
      </c>
    </row>
    <row r="225" spans="1:13" outlineLevel="1">
      <c r="A225" s="85" t="str">
        <f ca="1">OFFSET(Язык!$A$395,0,LANGUAGE)</f>
        <v>Чистая прибыль (убыток)</v>
      </c>
      <c r="B225" s="170"/>
      <c r="C225" s="173" t="str">
        <f t="shared" ca="1" si="61"/>
        <v>$</v>
      </c>
      <c r="D225" s="170"/>
      <c r="E225" s="170"/>
      <c r="F225" s="188">
        <f t="shared" ref="F225:J225" si="98">F223-F224</f>
        <v>0</v>
      </c>
      <c r="G225" s="188">
        <f t="shared" si="98"/>
        <v>0</v>
      </c>
      <c r="H225" s="188">
        <f t="shared" si="98"/>
        <v>0</v>
      </c>
      <c r="I225" s="188">
        <f t="shared" si="98"/>
        <v>0</v>
      </c>
      <c r="J225" s="188">
        <f t="shared" si="98"/>
        <v>0</v>
      </c>
      <c r="K225" s="188">
        <f t="shared" ref="K225" si="99">K223-K224</f>
        <v>0</v>
      </c>
      <c r="L225" s="188"/>
      <c r="M225" s="189">
        <f t="shared" si="64"/>
        <v>0</v>
      </c>
    </row>
    <row r="226" spans="1:13" outlineLevel="1"/>
    <row r="227" spans="1:13" ht="12" outlineLevel="1" thickBot="1"/>
    <row r="228" spans="1:13" s="2" customFormat="1" ht="15.95" customHeight="1" thickTop="1" thickBot="1">
      <c r="A228" s="18" t="str">
        <f ca="1">OFFSET(Язык!$A422,0,LANGUAGE)</f>
        <v>ОТЧЕТ О ДВИЖЕНИИ ДЕНЕЖНЫХ СРЕДСТВ</v>
      </c>
      <c r="B228" s="19"/>
      <c r="C228" s="19"/>
      <c r="D228" s="18"/>
      <c r="E228" s="18"/>
      <c r="F228" s="190">
        <f>Проект!G29</f>
        <v>40179</v>
      </c>
      <c r="G228" s="19">
        <f t="shared" ref="G228:K228" si="100">PeriodTitle</f>
        <v>2013</v>
      </c>
      <c r="H228" s="19">
        <f t="shared" si="100"/>
        <v>2014</v>
      </c>
      <c r="I228" s="19">
        <f t="shared" si="100"/>
        <v>2015</v>
      </c>
      <c r="J228" s="19">
        <f t="shared" si="100"/>
        <v>2016</v>
      </c>
      <c r="K228" s="19">
        <f t="shared" si="100"/>
        <v>2017</v>
      </c>
      <c r="L228" s="19"/>
      <c r="M228" s="23" t="str">
        <f ca="1">OFFSET(Язык!$A$77,0,LANGUAGE)</f>
        <v>ИТОГО</v>
      </c>
    </row>
    <row r="229" spans="1:13" ht="12" outlineLevel="1" thickTop="1"/>
    <row r="230" spans="1:13" outlineLevel="1">
      <c r="A230" s="2" t="str">
        <f ca="1">OFFSET(Язык!$A$423,0,LANGUAGE)</f>
        <v>Поступления от продаж</v>
      </c>
      <c r="C230" s="132" t="str">
        <f t="shared" ref="C230:C237" ca="1" si="101">CUR_Main</f>
        <v>$</v>
      </c>
      <c r="F230" s="134">
        <f t="shared" ref="F230:J230" si="102">F114+F115</f>
        <v>0</v>
      </c>
      <c r="G230" s="134">
        <f t="shared" si="102"/>
        <v>0</v>
      </c>
      <c r="H230" s="134">
        <f t="shared" si="102"/>
        <v>0</v>
      </c>
      <c r="I230" s="134">
        <f t="shared" si="102"/>
        <v>0</v>
      </c>
      <c r="J230" s="134">
        <f t="shared" si="102"/>
        <v>0</v>
      </c>
      <c r="K230" s="134">
        <f t="shared" ref="K230" si="103">K114+K115</f>
        <v>0</v>
      </c>
      <c r="L230" s="134"/>
      <c r="M230" s="136">
        <f t="shared" ref="M230:M237" si="104">SUM(G230:K230)</f>
        <v>0</v>
      </c>
    </row>
    <row r="231" spans="1:13" outlineLevel="1">
      <c r="A231" s="2" t="str">
        <f ca="1">OFFSET(Язык!$A$424,0,LANGUAGE)</f>
        <v>Затраты на материалы и комплектующие</v>
      </c>
      <c r="C231" s="132" t="str">
        <f t="shared" ca="1" si="101"/>
        <v>$</v>
      </c>
      <c r="F231" s="134">
        <f t="shared" ref="F231:J231" si="105">-F123*(1+$B131)</f>
        <v>0</v>
      </c>
      <c r="G231" s="134">
        <f t="shared" si="105"/>
        <v>0</v>
      </c>
      <c r="H231" s="134">
        <f t="shared" si="105"/>
        <v>0</v>
      </c>
      <c r="I231" s="134">
        <f t="shared" si="105"/>
        <v>0</v>
      </c>
      <c r="J231" s="134">
        <f t="shared" si="105"/>
        <v>0</v>
      </c>
      <c r="K231" s="134">
        <f t="shared" ref="K231" si="106">-K123*(1+$B131)</f>
        <v>0</v>
      </c>
      <c r="L231" s="134"/>
      <c r="M231" s="136">
        <f t="shared" si="104"/>
        <v>0</v>
      </c>
    </row>
    <row r="232" spans="1:13" outlineLevel="1">
      <c r="A232" s="2" t="str">
        <f ca="1">OFFSET(Язык!$A$425,0,LANGUAGE)</f>
        <v>Зарплата</v>
      </c>
      <c r="C232" s="132" t="str">
        <f t="shared" ca="1" si="101"/>
        <v>$</v>
      </c>
      <c r="F232" s="134">
        <f t="shared" ref="F232:J232" si="107">-F124</f>
        <v>0</v>
      </c>
      <c r="G232" s="134">
        <f t="shared" si="107"/>
        <v>0</v>
      </c>
      <c r="H232" s="134">
        <f t="shared" si="107"/>
        <v>0</v>
      </c>
      <c r="I232" s="134">
        <f t="shared" si="107"/>
        <v>0</v>
      </c>
      <c r="J232" s="134">
        <f t="shared" si="107"/>
        <v>0</v>
      </c>
      <c r="K232" s="134">
        <f t="shared" ref="K232" si="108">-K124</f>
        <v>0</v>
      </c>
      <c r="L232" s="134"/>
      <c r="M232" s="136">
        <f t="shared" si="104"/>
        <v>0</v>
      </c>
    </row>
    <row r="233" spans="1:13" outlineLevel="1">
      <c r="A233" s="2" t="str">
        <f ca="1">OFFSET(Язык!$A$426,0,LANGUAGE)</f>
        <v>Общие затраты</v>
      </c>
      <c r="C233" s="132" t="str">
        <f t="shared" ca="1" si="101"/>
        <v>$</v>
      </c>
      <c r="F233" s="134">
        <f t="shared" ref="F233:J233" si="109">-(F126+F129+F130)*(1+$B131)</f>
        <v>0</v>
      </c>
      <c r="G233" s="134">
        <f t="shared" si="109"/>
        <v>0</v>
      </c>
      <c r="H233" s="134">
        <f t="shared" si="109"/>
        <v>0</v>
      </c>
      <c r="I233" s="134">
        <f t="shared" si="109"/>
        <v>0</v>
      </c>
      <c r="J233" s="134">
        <f t="shared" si="109"/>
        <v>0</v>
      </c>
      <c r="K233" s="134">
        <f t="shared" ref="K233" si="110">-(K126+K129+K130)*(1+$B131)</f>
        <v>0</v>
      </c>
      <c r="L233" s="134"/>
      <c r="M233" s="136">
        <f t="shared" si="104"/>
        <v>0</v>
      </c>
    </row>
    <row r="234" spans="1:13" outlineLevel="1">
      <c r="A234" s="2" t="str">
        <f ca="1">OFFSET(Язык!$A$427,0,LANGUAGE)</f>
        <v>Налоги</v>
      </c>
      <c r="C234" s="132" t="str">
        <f t="shared" ca="1" si="101"/>
        <v>$</v>
      </c>
      <c r="F234" s="134">
        <f t="shared" ref="F234:J234" si="111">-(F224+F210+F218+(F115-F131-F176))</f>
        <v>0</v>
      </c>
      <c r="G234" s="134">
        <f t="shared" si="111"/>
        <v>0</v>
      </c>
      <c r="H234" s="134">
        <f t="shared" si="111"/>
        <v>0</v>
      </c>
      <c r="I234" s="134">
        <f t="shared" si="111"/>
        <v>0</v>
      </c>
      <c r="J234" s="134">
        <f t="shared" si="111"/>
        <v>0</v>
      </c>
      <c r="K234" s="134">
        <f t="shared" ref="K234" si="112">-(K224+K210+K218+(K115-K131-K176))</f>
        <v>0</v>
      </c>
      <c r="L234" s="134"/>
      <c r="M234" s="136">
        <f t="shared" si="104"/>
        <v>0</v>
      </c>
    </row>
    <row r="235" spans="1:13" outlineLevel="1">
      <c r="A235" s="2" t="str">
        <f ca="1">OFFSET(Язык!$A$428,0,LANGUAGE)</f>
        <v>Выплата процентов по кредитам</v>
      </c>
      <c r="C235" s="132" t="str">
        <f t="shared" ca="1" si="101"/>
        <v>$</v>
      </c>
      <c r="F235" s="134">
        <f t="shared" ref="F235:J235" si="113">-F219</f>
        <v>0</v>
      </c>
      <c r="G235" s="134">
        <f t="shared" si="113"/>
        <v>0</v>
      </c>
      <c r="H235" s="134">
        <f t="shared" si="113"/>
        <v>0</v>
      </c>
      <c r="I235" s="134">
        <f t="shared" si="113"/>
        <v>0</v>
      </c>
      <c r="J235" s="134">
        <f t="shared" si="113"/>
        <v>0</v>
      </c>
      <c r="K235" s="134">
        <f t="shared" ref="K235" si="114">-K219</f>
        <v>0</v>
      </c>
      <c r="L235" s="134"/>
      <c r="M235" s="136">
        <f t="shared" si="104"/>
        <v>0</v>
      </c>
    </row>
    <row r="236" spans="1:13" outlineLevel="1">
      <c r="A236" s="2" t="str">
        <f ca="1">OFFSET(Язык!$A$429,0,LANGUAGE)</f>
        <v>Прочие поступления</v>
      </c>
      <c r="C236" s="132" t="str">
        <f t="shared" ca="1" si="101"/>
        <v>$</v>
      </c>
      <c r="F236" s="134">
        <f t="shared" ref="F236:J236" si="115">$H95-$H96+$H97-$H98</f>
        <v>0</v>
      </c>
      <c r="G236" s="134">
        <f t="shared" si="115"/>
        <v>0</v>
      </c>
      <c r="H236" s="134">
        <f t="shared" si="115"/>
        <v>0</v>
      </c>
      <c r="I236" s="134">
        <f t="shared" si="115"/>
        <v>0</v>
      </c>
      <c r="J236" s="134">
        <f t="shared" si="115"/>
        <v>0</v>
      </c>
      <c r="K236" s="134">
        <f t="shared" ref="K236" si="116">$H95-$H96+$H97-$H98</f>
        <v>0</v>
      </c>
      <c r="L236" s="134"/>
      <c r="M236" s="136">
        <f t="shared" si="104"/>
        <v>0</v>
      </c>
    </row>
    <row r="237" spans="1:13" outlineLevel="1">
      <c r="A237" s="2" t="str">
        <f ca="1">OFFSET(Язык!$A$430,0,LANGUAGE)</f>
        <v>Прочие затраты</v>
      </c>
      <c r="C237" s="132" t="str">
        <f t="shared" ca="1" si="101"/>
        <v>$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/>
      <c r="M237" s="136">
        <f t="shared" si="104"/>
        <v>0</v>
      </c>
    </row>
    <row r="238" spans="1:13" outlineLevel="1">
      <c r="A238" s="2"/>
      <c r="F238" s="134"/>
      <c r="G238" s="134"/>
      <c r="H238" s="134"/>
      <c r="I238" s="134"/>
      <c r="J238" s="134"/>
      <c r="K238" s="134"/>
      <c r="L238" s="134"/>
      <c r="M238" s="134"/>
    </row>
    <row r="239" spans="1:13" outlineLevel="1">
      <c r="A239" s="32" t="str">
        <f ca="1">OFFSET(Язык!$A$431,0,LANGUAGE)</f>
        <v>Денежные потоки от операционной деятельности</v>
      </c>
      <c r="C239" s="132" t="str">
        <f ca="1">CUR_Main</f>
        <v>$</v>
      </c>
      <c r="F239" s="134">
        <f t="shared" ref="F239:J239" si="117">SUM(F230:F237)</f>
        <v>0</v>
      </c>
      <c r="G239" s="134">
        <f t="shared" si="117"/>
        <v>0</v>
      </c>
      <c r="H239" s="134">
        <f t="shared" si="117"/>
        <v>0</v>
      </c>
      <c r="I239" s="134">
        <f t="shared" si="117"/>
        <v>0</v>
      </c>
      <c r="J239" s="134">
        <f t="shared" si="117"/>
        <v>0</v>
      </c>
      <c r="K239" s="134">
        <f t="shared" ref="K239" si="118">SUM(K230:K237)</f>
        <v>0</v>
      </c>
      <c r="L239" s="134"/>
      <c r="M239" s="136">
        <f>SUM(G239:K239)</f>
        <v>0</v>
      </c>
    </row>
    <row r="240" spans="1:13" outlineLevel="1">
      <c r="A240" s="2"/>
      <c r="F240" s="134"/>
      <c r="G240" s="134"/>
      <c r="H240" s="134"/>
      <c r="I240" s="134"/>
      <c r="J240" s="134"/>
      <c r="K240" s="134"/>
      <c r="L240" s="134"/>
      <c r="M240" s="134"/>
    </row>
    <row r="241" spans="1:13" outlineLevel="1">
      <c r="A241" s="2" t="str">
        <f ca="1">OFFSET(Язык!$A$432,0,LANGUAGE)</f>
        <v>Инвестиции в здания и сооружения</v>
      </c>
      <c r="C241" s="132" t="str">
        <f ca="1">CUR_Main</f>
        <v>$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/>
      <c r="M241" s="136">
        <f>SUM(G241:K241)</f>
        <v>0</v>
      </c>
    </row>
    <row r="242" spans="1:13" outlineLevel="1">
      <c r="A242" s="2" t="str">
        <f ca="1">OFFSET(Язык!$A$433,0,LANGUAGE)</f>
        <v>Инвестиции в оборудование и другие активы</v>
      </c>
      <c r="C242" s="132" t="str">
        <f ca="1">CUR_Main</f>
        <v>$</v>
      </c>
      <c r="F242" s="134">
        <f t="shared" ref="F242:J242" si="119">-F182</f>
        <v>0</v>
      </c>
      <c r="G242" s="134">
        <f t="shared" si="119"/>
        <v>0</v>
      </c>
      <c r="H242" s="134">
        <f t="shared" si="119"/>
        <v>0</v>
      </c>
      <c r="I242" s="134">
        <f t="shared" si="119"/>
        <v>0</v>
      </c>
      <c r="J242" s="134">
        <f t="shared" si="119"/>
        <v>0</v>
      </c>
      <c r="K242" s="134">
        <f t="shared" ref="K242" si="120">-K182</f>
        <v>0</v>
      </c>
      <c r="L242" s="134"/>
      <c r="M242" s="136">
        <f>SUM(G242:K242)</f>
        <v>0</v>
      </c>
    </row>
    <row r="243" spans="1:13" outlineLevel="1">
      <c r="A243" s="2" t="str">
        <f ca="1">OFFSET(Язык!$A$434,0,LANGUAGE)</f>
        <v>Оплата расходов будущих периодов</v>
      </c>
      <c r="C243" s="132" t="str">
        <f ca="1">CUR_Main</f>
        <v>$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/>
      <c r="M243" s="136">
        <f>SUM(G243:K243)</f>
        <v>0</v>
      </c>
    </row>
    <row r="244" spans="1:13" outlineLevel="1">
      <c r="A244" s="2" t="str">
        <f ca="1">OFFSET(Язык!$A$435,0,LANGUAGE)</f>
        <v>Инвестиции в оборотный капитал</v>
      </c>
      <c r="C244" s="132" t="str">
        <f ca="1">CUR_Main</f>
        <v>$</v>
      </c>
      <c r="F244" s="134">
        <f t="shared" ref="F244:J244" si="121">-F181</f>
        <v>0</v>
      </c>
      <c r="G244" s="134">
        <f t="shared" si="121"/>
        <v>0</v>
      </c>
      <c r="H244" s="134">
        <f t="shared" si="121"/>
        <v>0</v>
      </c>
      <c r="I244" s="134">
        <f t="shared" si="121"/>
        <v>0</v>
      </c>
      <c r="J244" s="134">
        <f t="shared" si="121"/>
        <v>0</v>
      </c>
      <c r="K244" s="134">
        <f t="shared" ref="K244" si="122">-K181</f>
        <v>0</v>
      </c>
      <c r="L244" s="134"/>
      <c r="M244" s="136">
        <f>SUM(G244:K244)</f>
        <v>0</v>
      </c>
    </row>
    <row r="245" spans="1:13" outlineLevel="1">
      <c r="A245" s="2" t="str">
        <f ca="1">OFFSET(Язык!$A$436,0,LANGUAGE)</f>
        <v>Выручка от реализации активов</v>
      </c>
      <c r="C245" s="132" t="str">
        <f ca="1">CUR_Main</f>
        <v>$</v>
      </c>
      <c r="F245" s="134">
        <f t="shared" ref="F245:J245" si="123">F171</f>
        <v>0</v>
      </c>
      <c r="G245" s="134">
        <f t="shared" si="123"/>
        <v>0</v>
      </c>
      <c r="H245" s="134">
        <f t="shared" si="123"/>
        <v>0</v>
      </c>
      <c r="I245" s="134">
        <f t="shared" si="123"/>
        <v>0</v>
      </c>
      <c r="J245" s="134">
        <f t="shared" si="123"/>
        <v>0</v>
      </c>
      <c r="K245" s="134">
        <f t="shared" ref="K245" si="124">K171</f>
        <v>0</v>
      </c>
      <c r="L245" s="134"/>
      <c r="M245" s="136">
        <f>SUM(G245:K245)</f>
        <v>0</v>
      </c>
    </row>
    <row r="246" spans="1:13" outlineLevel="1">
      <c r="A246" s="2"/>
      <c r="F246" s="134"/>
      <c r="G246" s="134"/>
      <c r="H246" s="134"/>
      <c r="I246" s="134"/>
      <c r="J246" s="134"/>
      <c r="K246" s="134"/>
      <c r="L246" s="134"/>
      <c r="M246" s="134"/>
    </row>
    <row r="247" spans="1:13" outlineLevel="1">
      <c r="A247" s="32" t="str">
        <f ca="1">OFFSET(Язык!$A$437,0,LANGUAGE)</f>
        <v>Денежные потоки от инвестиционной деятельности</v>
      </c>
      <c r="C247" s="132" t="str">
        <f ca="1">CUR_Main</f>
        <v>$</v>
      </c>
      <c r="F247" s="134">
        <f t="shared" ref="F247:J247" si="125">SUM(F241:F245)</f>
        <v>0</v>
      </c>
      <c r="G247" s="134">
        <f t="shared" si="125"/>
        <v>0</v>
      </c>
      <c r="H247" s="134">
        <f t="shared" si="125"/>
        <v>0</v>
      </c>
      <c r="I247" s="134">
        <f t="shared" si="125"/>
        <v>0</v>
      </c>
      <c r="J247" s="134">
        <f t="shared" si="125"/>
        <v>0</v>
      </c>
      <c r="K247" s="134">
        <f t="shared" ref="K247" si="126">SUM(K241:K245)</f>
        <v>0</v>
      </c>
      <c r="L247" s="134"/>
      <c r="M247" s="136">
        <f>SUM(G247:K247)</f>
        <v>0</v>
      </c>
    </row>
    <row r="248" spans="1:13" outlineLevel="1">
      <c r="A248" s="2"/>
      <c r="F248" s="134"/>
      <c r="G248" s="134"/>
      <c r="H248" s="134"/>
      <c r="I248" s="134"/>
      <c r="J248" s="134"/>
      <c r="K248" s="134"/>
      <c r="L248" s="134"/>
      <c r="M248" s="134"/>
    </row>
    <row r="249" spans="1:13" outlineLevel="1">
      <c r="A249" s="2" t="str">
        <f ca="1">OFFSET(Язык!$A$438,0,LANGUAGE)</f>
        <v>Поступления акционерного капитала</v>
      </c>
      <c r="C249" s="132" t="str">
        <f t="shared" ref="C249:C254" ca="1" si="127">CUR_Main</f>
        <v>$</v>
      </c>
      <c r="F249" s="134">
        <f t="shared" ref="F249:J249" si="128">F185</f>
        <v>0</v>
      </c>
      <c r="G249" s="134">
        <f t="shared" si="128"/>
        <v>0</v>
      </c>
      <c r="H249" s="134">
        <f t="shared" si="128"/>
        <v>0</v>
      </c>
      <c r="I249" s="134">
        <f t="shared" si="128"/>
        <v>0</v>
      </c>
      <c r="J249" s="134">
        <f t="shared" si="128"/>
        <v>0</v>
      </c>
      <c r="K249" s="134">
        <f t="shared" ref="K249" si="129">K185</f>
        <v>0</v>
      </c>
      <c r="L249" s="134"/>
      <c r="M249" s="136">
        <f>SUM(G249:K249)</f>
        <v>0</v>
      </c>
    </row>
    <row r="250" spans="1:13" outlineLevel="1">
      <c r="A250" s="2" t="str">
        <f ca="1">OFFSET(Язык!$A$439,0,LANGUAGE)</f>
        <v>Целевое финансирование</v>
      </c>
      <c r="C250" s="132" t="str">
        <f t="shared" ca="1" si="127"/>
        <v>$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/>
      <c r="M250" s="136"/>
    </row>
    <row r="251" spans="1:13" outlineLevel="1">
      <c r="A251" s="2" t="str">
        <f ca="1">OFFSET(Язык!$A$440,0,LANGUAGE)</f>
        <v>Поступления кредитов</v>
      </c>
      <c r="C251" s="132" t="str">
        <f t="shared" ca="1" si="127"/>
        <v>$</v>
      </c>
      <c r="F251" s="134">
        <f t="shared" ref="F251:J251" si="130">F195+F189</f>
        <v>0</v>
      </c>
      <c r="G251" s="134">
        <f t="shared" si="130"/>
        <v>0</v>
      </c>
      <c r="H251" s="134">
        <f t="shared" si="130"/>
        <v>0</v>
      </c>
      <c r="I251" s="134">
        <f t="shared" si="130"/>
        <v>0</v>
      </c>
      <c r="J251" s="134">
        <f t="shared" si="130"/>
        <v>0</v>
      </c>
      <c r="K251" s="134">
        <f t="shared" ref="K251" si="131">K195+K189</f>
        <v>0</v>
      </c>
      <c r="L251" s="134"/>
      <c r="M251" s="136">
        <f>SUM(G251:K251)</f>
        <v>0</v>
      </c>
    </row>
    <row r="252" spans="1:13" outlineLevel="1">
      <c r="A252" s="2" t="str">
        <f ca="1">OFFSET(Язык!$A$441,0,LANGUAGE)</f>
        <v>Возврат кредитов</v>
      </c>
      <c r="C252" s="132" t="str">
        <f t="shared" ca="1" si="127"/>
        <v>$</v>
      </c>
      <c r="F252" s="134">
        <f t="shared" ref="F252:J252" si="132">-F196-F190</f>
        <v>0</v>
      </c>
      <c r="G252" s="134">
        <f t="shared" si="132"/>
        <v>0</v>
      </c>
      <c r="H252" s="134">
        <f t="shared" si="132"/>
        <v>0</v>
      </c>
      <c r="I252" s="134">
        <f t="shared" si="132"/>
        <v>0</v>
      </c>
      <c r="J252" s="134">
        <f t="shared" si="132"/>
        <v>0</v>
      </c>
      <c r="K252" s="134">
        <f t="shared" ref="K252" si="133">-K196-K190</f>
        <v>0</v>
      </c>
      <c r="L252" s="134"/>
      <c r="M252" s="136">
        <f>SUM(G252:K252)</f>
        <v>0</v>
      </c>
    </row>
    <row r="253" spans="1:13" outlineLevel="1">
      <c r="A253" s="2" t="str">
        <f ca="1">OFFSET(Язык!$A$442,0,LANGUAGE)</f>
        <v>Лизинговые платежи</v>
      </c>
      <c r="C253" s="132" t="str">
        <f t="shared" ca="1" si="127"/>
        <v>$</v>
      </c>
      <c r="F253" s="134">
        <f t="shared" ref="F253:J253" si="134">-F212</f>
        <v>0</v>
      </c>
      <c r="G253" s="134">
        <f t="shared" si="134"/>
        <v>0</v>
      </c>
      <c r="H253" s="134">
        <f t="shared" si="134"/>
        <v>0</v>
      </c>
      <c r="I253" s="134">
        <f t="shared" si="134"/>
        <v>0</v>
      </c>
      <c r="J253" s="134">
        <f t="shared" si="134"/>
        <v>0</v>
      </c>
      <c r="K253" s="134">
        <f t="shared" ref="K253" si="135">-K212</f>
        <v>0</v>
      </c>
      <c r="L253" s="134"/>
      <c r="M253" s="136">
        <f>SUM(G253:K253)</f>
        <v>0</v>
      </c>
    </row>
    <row r="254" spans="1:13" outlineLevel="1">
      <c r="A254" s="2" t="str">
        <f ca="1">OFFSET(Язык!$A$443,0,LANGUAGE)</f>
        <v>Выплата дивидендов</v>
      </c>
      <c r="C254" s="132" t="str">
        <f t="shared" ca="1" si="127"/>
        <v>$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/>
      <c r="M254" s="136">
        <f>SUM(G254:K254)</f>
        <v>0</v>
      </c>
    </row>
    <row r="255" spans="1:13" outlineLevel="1">
      <c r="A255" s="2"/>
      <c r="F255" s="134"/>
      <c r="G255" s="134"/>
      <c r="H255" s="134"/>
      <c r="I255" s="134"/>
      <c r="J255" s="134"/>
      <c r="K255" s="134"/>
      <c r="L255" s="134"/>
      <c r="M255" s="134"/>
    </row>
    <row r="256" spans="1:13" outlineLevel="1">
      <c r="A256" s="32" t="str">
        <f ca="1">OFFSET(Язык!$A$444,0,LANGUAGE)</f>
        <v>Денежные потоки от финансовой деятельности</v>
      </c>
      <c r="C256" s="132" t="str">
        <f ca="1">CUR_Main</f>
        <v>$</v>
      </c>
      <c r="F256" s="134">
        <f t="shared" ref="F256:J256" si="136">SUM(F249:F254)</f>
        <v>0</v>
      </c>
      <c r="G256" s="134">
        <f t="shared" si="136"/>
        <v>0</v>
      </c>
      <c r="H256" s="134">
        <f t="shared" si="136"/>
        <v>0</v>
      </c>
      <c r="I256" s="134">
        <f t="shared" si="136"/>
        <v>0</v>
      </c>
      <c r="J256" s="134">
        <f t="shared" si="136"/>
        <v>0</v>
      </c>
      <c r="K256" s="134">
        <f t="shared" ref="K256" si="137">SUM(K249:K254)</f>
        <v>0</v>
      </c>
      <c r="L256" s="134"/>
      <c r="M256" s="136">
        <f>SUM(G256:K256)</f>
        <v>0</v>
      </c>
    </row>
    <row r="257" spans="1:13" outlineLevel="1">
      <c r="A257" s="2"/>
      <c r="F257" s="134"/>
      <c r="G257" s="134"/>
      <c r="H257" s="134"/>
      <c r="I257" s="134"/>
      <c r="J257" s="134"/>
      <c r="K257" s="134"/>
      <c r="L257" s="134"/>
      <c r="M257" s="134"/>
    </row>
    <row r="258" spans="1:13" outlineLevel="1">
      <c r="A258" s="32" t="str">
        <f ca="1">OFFSET(Язык!$A$445,0,LANGUAGE)</f>
        <v>Суммарный денежный поток за период</v>
      </c>
      <c r="C258" s="132" t="str">
        <f ca="1">CUR_Main</f>
        <v>$</v>
      </c>
      <c r="F258" s="134">
        <f t="shared" ref="F258:J258" si="138">F239+F247+F256</f>
        <v>0</v>
      </c>
      <c r="G258" s="134">
        <f t="shared" si="138"/>
        <v>0</v>
      </c>
      <c r="H258" s="134">
        <f t="shared" si="138"/>
        <v>0</v>
      </c>
      <c r="I258" s="134">
        <f t="shared" si="138"/>
        <v>0</v>
      </c>
      <c r="J258" s="134">
        <f t="shared" si="138"/>
        <v>0</v>
      </c>
      <c r="K258" s="134">
        <f t="shared" ref="K258" si="139">K239+K247+K256</f>
        <v>0</v>
      </c>
      <c r="L258" s="134"/>
      <c r="M258" s="136">
        <f>SUM(G258:K258)</f>
        <v>0</v>
      </c>
    </row>
    <row r="259" spans="1:13" outlineLevel="1">
      <c r="A259" s="43" t="str">
        <f ca="1">OFFSET(Язык!$A$446,0,LANGUAGE)</f>
        <v>Денежные средства на конец периода</v>
      </c>
      <c r="B259" s="170"/>
      <c r="C259" s="173" t="str">
        <f ca="1">CUR_Main</f>
        <v>$</v>
      </c>
      <c r="D259" s="170" t="s">
        <v>1736</v>
      </c>
      <c r="E259" s="170"/>
      <c r="F259" s="188">
        <f>G43</f>
        <v>0</v>
      </c>
      <c r="G259" s="188">
        <f t="shared" ref="G259:K259" si="140">F259+G258</f>
        <v>0</v>
      </c>
      <c r="H259" s="188">
        <f t="shared" si="140"/>
        <v>0</v>
      </c>
      <c r="I259" s="188">
        <f t="shared" si="140"/>
        <v>0</v>
      </c>
      <c r="J259" s="188">
        <f t="shared" si="140"/>
        <v>0</v>
      </c>
      <c r="K259" s="188">
        <f t="shared" si="140"/>
        <v>0</v>
      </c>
      <c r="L259" s="188"/>
      <c r="M259" s="188"/>
    </row>
    <row r="260" spans="1:13" outlineLevel="1"/>
    <row r="261" spans="1:13" ht="12" outlineLevel="1" thickBot="1"/>
    <row r="262" spans="1:13" s="2" customFormat="1" ht="15.95" customHeight="1" thickTop="1" thickBot="1">
      <c r="A262" s="18" t="str">
        <f ca="1">OFFSET(Язык!$A449,0,LANGUAGE)</f>
        <v>БАЛАНС</v>
      </c>
      <c r="B262" s="19"/>
      <c r="C262" s="19"/>
      <c r="D262" s="18"/>
      <c r="E262" s="18"/>
      <c r="F262" s="190">
        <f>Проект!G29</f>
        <v>40179</v>
      </c>
      <c r="G262" s="19">
        <f t="shared" ref="G262:K262" si="141">PeriodTitle</f>
        <v>2013</v>
      </c>
      <c r="H262" s="19">
        <f t="shared" si="141"/>
        <v>2014</v>
      </c>
      <c r="I262" s="19">
        <f t="shared" si="141"/>
        <v>2015</v>
      </c>
      <c r="J262" s="19">
        <f t="shared" si="141"/>
        <v>2016</v>
      </c>
      <c r="K262" s="19">
        <f t="shared" si="141"/>
        <v>2017</v>
      </c>
      <c r="L262" s="19"/>
      <c r="M262" s="84"/>
    </row>
    <row r="263" spans="1:13" ht="12" outlineLevel="1" thickTop="1"/>
    <row r="264" spans="1:13" outlineLevel="1">
      <c r="A264" s="47" t="str">
        <f ca="1">OFFSET(Язык!$A$450,0,LANGUAGE)</f>
        <v>Деньги</v>
      </c>
      <c r="C264" s="132" t="str">
        <f t="shared" ref="C264:C273" ca="1" si="142">CUR_Main</f>
        <v>$</v>
      </c>
      <c r="D264" s="1" t="s">
        <v>1736</v>
      </c>
      <c r="F264" s="134">
        <f t="shared" ref="F264:J264" si="143">F259</f>
        <v>0</v>
      </c>
      <c r="G264" s="134">
        <f t="shared" si="143"/>
        <v>0</v>
      </c>
      <c r="H264" s="134">
        <f t="shared" si="143"/>
        <v>0</v>
      </c>
      <c r="I264" s="134">
        <f t="shared" si="143"/>
        <v>0</v>
      </c>
      <c r="J264" s="134">
        <f t="shared" si="143"/>
        <v>0</v>
      </c>
      <c r="K264" s="134">
        <f t="shared" ref="K264" si="144">K259</f>
        <v>0</v>
      </c>
      <c r="L264" s="134"/>
      <c r="M264" s="134"/>
    </row>
    <row r="265" spans="1:13" outlineLevel="1">
      <c r="A265" s="47" t="str">
        <f ca="1">OFFSET(Язык!$A$451,0,LANGUAGE)</f>
        <v>Дебиторская задолженность</v>
      </c>
      <c r="C265" s="132" t="str">
        <f t="shared" ca="1" si="142"/>
        <v>$</v>
      </c>
      <c r="D265" s="1" t="s">
        <v>1736</v>
      </c>
      <c r="F265" s="134">
        <f t="shared" ref="F265:J266" si="145">F140</f>
        <v>0</v>
      </c>
      <c r="G265" s="134">
        <f t="shared" si="145"/>
        <v>0</v>
      </c>
      <c r="H265" s="134">
        <f t="shared" si="145"/>
        <v>0</v>
      </c>
      <c r="I265" s="134">
        <f t="shared" si="145"/>
        <v>0</v>
      </c>
      <c r="J265" s="134">
        <f t="shared" si="145"/>
        <v>0</v>
      </c>
      <c r="K265" s="134">
        <f t="shared" ref="K265" si="146">K140</f>
        <v>0</v>
      </c>
      <c r="L265" s="134"/>
      <c r="M265" s="134"/>
    </row>
    <row r="266" spans="1:13" outlineLevel="1">
      <c r="A266" s="47" t="str">
        <f ca="1">OFFSET(Язык!$A$452,0,LANGUAGE)</f>
        <v>Авансы уплаченные</v>
      </c>
      <c r="C266" s="132" t="str">
        <f t="shared" ca="1" si="142"/>
        <v>$</v>
      </c>
      <c r="D266" s="1" t="s">
        <v>1736</v>
      </c>
      <c r="F266" s="134">
        <f t="shared" si="145"/>
        <v>0</v>
      </c>
      <c r="G266" s="134">
        <f t="shared" si="145"/>
        <v>0</v>
      </c>
      <c r="H266" s="134">
        <f t="shared" si="145"/>
        <v>0</v>
      </c>
      <c r="I266" s="134">
        <f t="shared" si="145"/>
        <v>0</v>
      </c>
      <c r="J266" s="134">
        <f t="shared" si="145"/>
        <v>0</v>
      </c>
      <c r="K266" s="134">
        <f t="shared" ref="K266" si="147">K141</f>
        <v>0</v>
      </c>
      <c r="L266" s="134"/>
      <c r="M266" s="134"/>
    </row>
    <row r="267" spans="1:13" outlineLevel="1">
      <c r="A267" s="47" t="str">
        <f ca="1">OFFSET(Язык!$A$453,0,LANGUAGE)</f>
        <v>Готовая продукция</v>
      </c>
      <c r="C267" s="132" t="str">
        <f t="shared" ca="1" si="142"/>
        <v>$</v>
      </c>
      <c r="D267" s="1" t="s">
        <v>1736</v>
      </c>
      <c r="F267" s="134">
        <f t="shared" ref="F267:J267" si="148">F139</f>
        <v>0</v>
      </c>
      <c r="G267" s="134">
        <f t="shared" si="148"/>
        <v>0</v>
      </c>
      <c r="H267" s="134">
        <f t="shared" si="148"/>
        <v>0</v>
      </c>
      <c r="I267" s="134">
        <f t="shared" si="148"/>
        <v>0</v>
      </c>
      <c r="J267" s="134">
        <f t="shared" si="148"/>
        <v>0</v>
      </c>
      <c r="K267" s="134">
        <f t="shared" ref="K267" si="149">K139</f>
        <v>0</v>
      </c>
      <c r="L267" s="134"/>
      <c r="M267" s="134"/>
    </row>
    <row r="268" spans="1:13" outlineLevel="1">
      <c r="A268" s="47" t="str">
        <f ca="1">OFFSET(Язык!$A$454,0,LANGUAGE)</f>
        <v>Незавершенное производство</v>
      </c>
      <c r="C268" s="132" t="str">
        <f t="shared" ca="1" si="142"/>
        <v>$</v>
      </c>
      <c r="D268" s="1" t="s">
        <v>1736</v>
      </c>
      <c r="F268" s="134">
        <f t="shared" ref="F268:J268" si="150">F138</f>
        <v>0</v>
      </c>
      <c r="G268" s="134">
        <f t="shared" si="150"/>
        <v>0</v>
      </c>
      <c r="H268" s="134">
        <f t="shared" si="150"/>
        <v>0</v>
      </c>
      <c r="I268" s="134">
        <f t="shared" si="150"/>
        <v>0</v>
      </c>
      <c r="J268" s="134">
        <f t="shared" si="150"/>
        <v>0</v>
      </c>
      <c r="K268" s="134">
        <f t="shared" ref="K268" si="151">K138</f>
        <v>0</v>
      </c>
      <c r="L268" s="134"/>
      <c r="M268" s="134"/>
    </row>
    <row r="269" spans="1:13" outlineLevel="1">
      <c r="A269" s="47" t="str">
        <f ca="1">OFFSET(Язык!$A$455,0,LANGUAGE)</f>
        <v>Материалы и комплектующие</v>
      </c>
      <c r="C269" s="132" t="str">
        <f t="shared" ca="1" si="142"/>
        <v>$</v>
      </c>
      <c r="D269" s="1" t="s">
        <v>1736</v>
      </c>
      <c r="F269" s="134">
        <f t="shared" ref="F269:J269" si="152">F137</f>
        <v>0</v>
      </c>
      <c r="G269" s="134">
        <f t="shared" si="152"/>
        <v>0</v>
      </c>
      <c r="H269" s="134">
        <f t="shared" si="152"/>
        <v>0</v>
      </c>
      <c r="I269" s="134">
        <f t="shared" si="152"/>
        <v>0</v>
      </c>
      <c r="J269" s="134">
        <f t="shared" si="152"/>
        <v>0</v>
      </c>
      <c r="K269" s="134">
        <f t="shared" ref="K269" si="153">K137</f>
        <v>0</v>
      </c>
      <c r="L269" s="134"/>
      <c r="M269" s="134"/>
    </row>
    <row r="270" spans="1:13" outlineLevel="1">
      <c r="A270" s="47" t="str">
        <f ca="1">OFFSET(Язык!$A$456,0,LANGUAGE)</f>
        <v>НДС на приобретенные товары</v>
      </c>
      <c r="C270" s="132" t="str">
        <f t="shared" ca="1" si="142"/>
        <v>$</v>
      </c>
      <c r="D270" s="1" t="s">
        <v>1736</v>
      </c>
      <c r="F270" s="134">
        <f t="shared" ref="F270:J270" si="154">F142</f>
        <v>0</v>
      </c>
      <c r="G270" s="134">
        <f t="shared" si="154"/>
        <v>0</v>
      </c>
      <c r="H270" s="134">
        <f t="shared" si="154"/>
        <v>0</v>
      </c>
      <c r="I270" s="134">
        <f t="shared" si="154"/>
        <v>0</v>
      </c>
      <c r="J270" s="134">
        <f t="shared" si="154"/>
        <v>0</v>
      </c>
      <c r="K270" s="134">
        <f t="shared" ref="K270" si="155">K142</f>
        <v>0</v>
      </c>
      <c r="L270" s="134"/>
      <c r="M270" s="134"/>
    </row>
    <row r="271" spans="1:13" outlineLevel="1">
      <c r="A271" s="47" t="str">
        <f ca="1">OFFSET(Язык!$A$457,0,LANGUAGE)</f>
        <v>Расходы будущих периодов</v>
      </c>
      <c r="C271" s="132" t="str">
        <f t="shared" ca="1" si="142"/>
        <v>$</v>
      </c>
      <c r="D271" s="1" t="s">
        <v>1736</v>
      </c>
      <c r="F271" s="134">
        <f>G35</f>
        <v>0</v>
      </c>
      <c r="G271" s="134">
        <f t="shared" ref="G271:K272" si="156">F271</f>
        <v>0</v>
      </c>
      <c r="H271" s="134">
        <f t="shared" si="156"/>
        <v>0</v>
      </c>
      <c r="I271" s="134">
        <f t="shared" si="156"/>
        <v>0</v>
      </c>
      <c r="J271" s="134">
        <f t="shared" si="156"/>
        <v>0</v>
      </c>
      <c r="K271" s="134">
        <f t="shared" si="156"/>
        <v>0</v>
      </c>
      <c r="L271" s="134"/>
      <c r="M271" s="134"/>
    </row>
    <row r="272" spans="1:13" outlineLevel="1">
      <c r="A272" s="47" t="str">
        <f ca="1">OFFSET(Язык!$A$458,0,LANGUAGE)</f>
        <v>Прочие оборотные активы</v>
      </c>
      <c r="C272" s="132" t="str">
        <f t="shared" ca="1" si="142"/>
        <v>$</v>
      </c>
      <c r="D272" s="1" t="s">
        <v>1736</v>
      </c>
      <c r="F272" s="134">
        <f>G36+G42+G44</f>
        <v>0</v>
      </c>
      <c r="G272" s="134">
        <f t="shared" si="156"/>
        <v>0</v>
      </c>
      <c r="H272" s="134">
        <f t="shared" si="156"/>
        <v>0</v>
      </c>
      <c r="I272" s="134">
        <f t="shared" si="156"/>
        <v>0</v>
      </c>
      <c r="J272" s="134">
        <f t="shared" si="156"/>
        <v>0</v>
      </c>
      <c r="K272" s="134">
        <f t="shared" si="156"/>
        <v>0</v>
      </c>
      <c r="L272" s="134"/>
      <c r="M272" s="134"/>
    </row>
    <row r="273" spans="1:13" outlineLevel="1">
      <c r="A273" s="32" t="str">
        <f ca="1">OFFSET(Язык!$A$459,0,LANGUAGE)</f>
        <v>Суммарные оборотные активы</v>
      </c>
      <c r="C273" s="132" t="str">
        <f t="shared" ca="1" si="142"/>
        <v>$</v>
      </c>
      <c r="D273" s="1" t="s">
        <v>1736</v>
      </c>
      <c r="F273" s="134">
        <f t="shared" ref="F273:J273" si="157">SUM(F264:F272)</f>
        <v>0</v>
      </c>
      <c r="G273" s="134">
        <f t="shared" si="157"/>
        <v>0</v>
      </c>
      <c r="H273" s="134">
        <f t="shared" si="157"/>
        <v>0</v>
      </c>
      <c r="I273" s="134">
        <f t="shared" si="157"/>
        <v>0</v>
      </c>
      <c r="J273" s="134">
        <f t="shared" si="157"/>
        <v>0</v>
      </c>
      <c r="K273" s="134">
        <f t="shared" ref="K273" si="158">SUM(K264:K272)</f>
        <v>0</v>
      </c>
      <c r="L273" s="134"/>
      <c r="M273" s="134"/>
    </row>
    <row r="274" spans="1:13" outlineLevel="1">
      <c r="A274" s="2"/>
      <c r="F274" s="134"/>
      <c r="G274" s="134"/>
      <c r="H274" s="134"/>
      <c r="I274" s="134"/>
      <c r="J274" s="134"/>
      <c r="K274" s="134"/>
      <c r="L274" s="134"/>
      <c r="M274" s="134"/>
    </row>
    <row r="275" spans="1:13" outlineLevel="1">
      <c r="A275" s="47" t="str">
        <f ca="1">OFFSET(Язык!$A$460,0,LANGUAGE)</f>
        <v>Постоянные активы</v>
      </c>
      <c r="C275" s="132" t="str">
        <f ca="1">CUR_Main</f>
        <v>$</v>
      </c>
      <c r="D275" s="1" t="s">
        <v>1736</v>
      </c>
      <c r="F275" s="134">
        <f t="shared" ref="F275:J275" si="159">SUM(F276:F277)</f>
        <v>0</v>
      </c>
      <c r="G275" s="134">
        <f t="shared" si="159"/>
        <v>0</v>
      </c>
      <c r="H275" s="134">
        <f t="shared" si="159"/>
        <v>0</v>
      </c>
      <c r="I275" s="134">
        <f t="shared" si="159"/>
        <v>0</v>
      </c>
      <c r="J275" s="134">
        <f t="shared" si="159"/>
        <v>0</v>
      </c>
      <c r="K275" s="134">
        <f t="shared" ref="K275" si="160">SUM(K276:K277)</f>
        <v>0</v>
      </c>
      <c r="L275" s="134"/>
      <c r="M275" s="134"/>
    </row>
    <row r="276" spans="1:13" outlineLevel="1">
      <c r="A276" s="47" t="str">
        <f ca="1">OFFSET(Язык!$A$461,0,LANGUAGE)</f>
        <v xml:space="preserve">    здания и сооружения</v>
      </c>
      <c r="C276" s="132" t="str">
        <f ca="1">CUR_Main</f>
        <v>$</v>
      </c>
      <c r="D276" s="1" t="s">
        <v>1736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/>
      <c r="M276" s="134"/>
    </row>
    <row r="277" spans="1:13" outlineLevel="1">
      <c r="A277" s="47" t="str">
        <f ca="1">OFFSET(Язык!$A$462,0,LANGUAGE)</f>
        <v xml:space="preserve">    оборудование и прочие активы</v>
      </c>
      <c r="C277" s="132" t="str">
        <f ca="1">CUR_Main</f>
        <v>$</v>
      </c>
      <c r="D277" s="1" t="s">
        <v>1736</v>
      </c>
      <c r="F277" s="134">
        <f t="shared" ref="F277:J277" si="161">$G22+$G23+$G24+$G25+F168</f>
        <v>0</v>
      </c>
      <c r="G277" s="134">
        <f t="shared" si="161"/>
        <v>0</v>
      </c>
      <c r="H277" s="134">
        <f t="shared" si="161"/>
        <v>0</v>
      </c>
      <c r="I277" s="134">
        <f t="shared" si="161"/>
        <v>0</v>
      </c>
      <c r="J277" s="134">
        <f t="shared" si="161"/>
        <v>0</v>
      </c>
      <c r="K277" s="134">
        <f t="shared" ref="K277" si="162">$G22+$G23+$G24+$G25+K168</f>
        <v>0</v>
      </c>
      <c r="L277" s="134"/>
      <c r="M277" s="134"/>
    </row>
    <row r="278" spans="1:13" outlineLevel="1">
      <c r="A278" s="47" t="str">
        <f ca="1">OFFSET(Язык!$A$463,0,LANGUAGE)</f>
        <v>Незавершенные капиталовложения</v>
      </c>
      <c r="C278" s="132" t="str">
        <f ca="1">CUR_Main</f>
        <v>$</v>
      </c>
      <c r="D278" s="1" t="s">
        <v>1736</v>
      </c>
      <c r="F278" s="134">
        <f t="shared" ref="F278:J278" si="163">F158</f>
        <v>0</v>
      </c>
      <c r="G278" s="134">
        <f t="shared" si="163"/>
        <v>0</v>
      </c>
      <c r="H278" s="134">
        <f t="shared" si="163"/>
        <v>0</v>
      </c>
      <c r="I278" s="134">
        <f t="shared" si="163"/>
        <v>0</v>
      </c>
      <c r="J278" s="134">
        <f t="shared" si="163"/>
        <v>0</v>
      </c>
      <c r="K278" s="134">
        <f t="shared" ref="K278" si="164">K158</f>
        <v>0</v>
      </c>
      <c r="L278" s="134"/>
      <c r="M278" s="134"/>
    </row>
    <row r="279" spans="1:13" outlineLevel="1">
      <c r="A279" s="32" t="str">
        <f ca="1">OFFSET(Язык!$A$464,0,LANGUAGE)</f>
        <v>Суммарные внеоборотные активы</v>
      </c>
      <c r="C279" s="132" t="str">
        <f ca="1">CUR_Main</f>
        <v>$</v>
      </c>
      <c r="D279" s="1" t="s">
        <v>1736</v>
      </c>
      <c r="F279" s="134">
        <f t="shared" ref="F279:J279" si="165">F275+F278</f>
        <v>0</v>
      </c>
      <c r="G279" s="134">
        <f t="shared" si="165"/>
        <v>0</v>
      </c>
      <c r="H279" s="134">
        <f t="shared" si="165"/>
        <v>0</v>
      </c>
      <c r="I279" s="134">
        <f t="shared" si="165"/>
        <v>0</v>
      </c>
      <c r="J279" s="134">
        <f t="shared" si="165"/>
        <v>0</v>
      </c>
      <c r="K279" s="134">
        <f t="shared" ref="K279" si="166">K275+K278</f>
        <v>0</v>
      </c>
      <c r="L279" s="134"/>
      <c r="M279" s="134"/>
    </row>
    <row r="280" spans="1:13" outlineLevel="1">
      <c r="A280" s="2"/>
      <c r="F280" s="134"/>
      <c r="G280" s="134"/>
      <c r="H280" s="134"/>
      <c r="I280" s="134"/>
      <c r="J280" s="134"/>
      <c r="K280" s="134"/>
      <c r="L280" s="134"/>
      <c r="M280" s="134"/>
    </row>
    <row r="281" spans="1:13" outlineLevel="1">
      <c r="A281" s="32" t="str">
        <f ca="1">OFFSET(Язык!$A$465,0,LANGUAGE)</f>
        <v xml:space="preserve"> = ИТОГО АКТИВОВ</v>
      </c>
      <c r="B281" s="29" t="str">
        <f>IF(COUNTIF(F301:K301,1)&gt;0,"Не сходится!","")</f>
        <v/>
      </c>
      <c r="C281" s="132" t="str">
        <f ca="1">CUR_Main</f>
        <v>$</v>
      </c>
      <c r="D281" s="1" t="s">
        <v>1736</v>
      </c>
      <c r="F281" s="134">
        <f t="shared" ref="F281:J281" si="167">F273+F279</f>
        <v>0</v>
      </c>
      <c r="G281" s="134">
        <f t="shared" si="167"/>
        <v>0</v>
      </c>
      <c r="H281" s="134">
        <f t="shared" si="167"/>
        <v>0</v>
      </c>
      <c r="I281" s="134">
        <f t="shared" si="167"/>
        <v>0</v>
      </c>
      <c r="J281" s="134">
        <f t="shared" si="167"/>
        <v>0</v>
      </c>
      <c r="K281" s="134">
        <f t="shared" ref="K281" si="168">K273+K279</f>
        <v>0</v>
      </c>
      <c r="L281" s="134"/>
      <c r="M281" s="134"/>
    </row>
    <row r="282" spans="1:13" outlineLevel="1">
      <c r="A282" s="2"/>
      <c r="F282" s="134"/>
      <c r="G282" s="134"/>
      <c r="H282" s="134"/>
      <c r="I282" s="134"/>
      <c r="J282" s="134"/>
      <c r="K282" s="134"/>
      <c r="L282" s="134"/>
      <c r="M282" s="134"/>
    </row>
    <row r="283" spans="1:13" outlineLevel="1">
      <c r="A283" s="47" t="str">
        <f ca="1">OFFSET(Язык!$A$466,0,LANGUAGE)</f>
        <v>Кредиторская задолженность</v>
      </c>
      <c r="C283" s="132" t="str">
        <f t="shared" ref="C283:C291" ca="1" si="169">CUR_Main</f>
        <v>$</v>
      </c>
      <c r="D283" s="1" t="s">
        <v>1736</v>
      </c>
      <c r="F283" s="134">
        <f t="shared" ref="F283:J283" si="170">SUM(F284:F285)</f>
        <v>0</v>
      </c>
      <c r="G283" s="134">
        <f t="shared" si="170"/>
        <v>0</v>
      </c>
      <c r="H283" s="134">
        <f t="shared" si="170"/>
        <v>0</v>
      </c>
      <c r="I283" s="134">
        <f t="shared" si="170"/>
        <v>0</v>
      </c>
      <c r="J283" s="134">
        <f t="shared" si="170"/>
        <v>0</v>
      </c>
      <c r="K283" s="134">
        <f t="shared" ref="K283" si="171">SUM(K284:K285)</f>
        <v>0</v>
      </c>
      <c r="L283" s="134"/>
      <c r="M283" s="134"/>
    </row>
    <row r="284" spans="1:13" outlineLevel="1">
      <c r="A284" s="47" t="str">
        <f ca="1">OFFSET(Язык!$A$467,0,LANGUAGE)</f>
        <v xml:space="preserve">    за поставленные товары</v>
      </c>
      <c r="C284" s="132" t="str">
        <f t="shared" ca="1" si="169"/>
        <v>$</v>
      </c>
      <c r="D284" s="1" t="s">
        <v>1736</v>
      </c>
      <c r="F284" s="134">
        <f t="shared" ref="F284:J284" si="172">F146</f>
        <v>0</v>
      </c>
      <c r="G284" s="134">
        <f t="shared" si="172"/>
        <v>0</v>
      </c>
      <c r="H284" s="134">
        <f t="shared" si="172"/>
        <v>0</v>
      </c>
      <c r="I284" s="134">
        <f t="shared" si="172"/>
        <v>0</v>
      </c>
      <c r="J284" s="134">
        <f t="shared" si="172"/>
        <v>0</v>
      </c>
      <c r="K284" s="134">
        <f t="shared" ref="K284" si="173">K146</f>
        <v>0</v>
      </c>
      <c r="L284" s="134"/>
      <c r="M284" s="134"/>
    </row>
    <row r="285" spans="1:13" outlineLevel="1">
      <c r="A285" s="47" t="str">
        <f ca="1">OFFSET(Язык!$A$468,0,LANGUAGE)</f>
        <v xml:space="preserve">    за постоянные активы</v>
      </c>
      <c r="C285" s="132" t="str">
        <f t="shared" ca="1" si="169"/>
        <v>$</v>
      </c>
      <c r="D285" s="1" t="s">
        <v>1736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/>
      <c r="M285" s="134"/>
    </row>
    <row r="286" spans="1:13" outlineLevel="1">
      <c r="A286" s="47" t="str">
        <f ca="1">OFFSET(Язык!$A$469,0,LANGUAGE)</f>
        <v>Расчеты с бюджетом</v>
      </c>
      <c r="C286" s="132" t="str">
        <f t="shared" ca="1" si="169"/>
        <v>$</v>
      </c>
      <c r="D286" s="1" t="s">
        <v>1736</v>
      </c>
      <c r="F286" s="134">
        <f t="shared" ref="F286:J286" si="174">F148</f>
        <v>0</v>
      </c>
      <c r="G286" s="134">
        <f t="shared" si="174"/>
        <v>0</v>
      </c>
      <c r="H286" s="134">
        <f t="shared" si="174"/>
        <v>0</v>
      </c>
      <c r="I286" s="134">
        <f t="shared" si="174"/>
        <v>0</v>
      </c>
      <c r="J286" s="134">
        <f t="shared" si="174"/>
        <v>0</v>
      </c>
      <c r="K286" s="134">
        <f t="shared" ref="K286" si="175">K148</f>
        <v>0</v>
      </c>
      <c r="L286" s="134"/>
      <c r="M286" s="134"/>
    </row>
    <row r="287" spans="1:13" outlineLevel="1">
      <c r="A287" s="47" t="str">
        <f ca="1">OFFSET(Язык!$A$470,0,LANGUAGE)</f>
        <v>Расчеты с персоналом</v>
      </c>
      <c r="C287" s="132" t="str">
        <f t="shared" ca="1" si="169"/>
        <v>$</v>
      </c>
      <c r="D287" s="1" t="s">
        <v>1736</v>
      </c>
      <c r="F287" s="134">
        <f t="shared" ref="F287:J287" si="176">F149</f>
        <v>0</v>
      </c>
      <c r="G287" s="134">
        <f t="shared" si="176"/>
        <v>0</v>
      </c>
      <c r="H287" s="134">
        <f t="shared" si="176"/>
        <v>0</v>
      </c>
      <c r="I287" s="134">
        <f t="shared" si="176"/>
        <v>0</v>
      </c>
      <c r="J287" s="134">
        <f t="shared" si="176"/>
        <v>0</v>
      </c>
      <c r="K287" s="134">
        <f t="shared" ref="K287" si="177">K149</f>
        <v>0</v>
      </c>
      <c r="L287" s="134"/>
      <c r="M287" s="134"/>
    </row>
    <row r="288" spans="1:13" outlineLevel="1">
      <c r="A288" s="47" t="str">
        <f ca="1">OFFSET(Язык!$A$471,0,LANGUAGE)</f>
        <v>Авансы покупателей</v>
      </c>
      <c r="C288" s="132" t="str">
        <f t="shared" ca="1" si="169"/>
        <v>$</v>
      </c>
      <c r="D288" s="1" t="s">
        <v>1736</v>
      </c>
      <c r="F288" s="134">
        <f t="shared" ref="F288:J288" si="178">F147</f>
        <v>0</v>
      </c>
      <c r="G288" s="134">
        <f t="shared" si="178"/>
        <v>0</v>
      </c>
      <c r="H288" s="134">
        <f t="shared" si="178"/>
        <v>0</v>
      </c>
      <c r="I288" s="134">
        <f t="shared" si="178"/>
        <v>0</v>
      </c>
      <c r="J288" s="134">
        <f t="shared" si="178"/>
        <v>0</v>
      </c>
      <c r="K288" s="134">
        <f t="shared" ref="K288" si="179">K147</f>
        <v>0</v>
      </c>
      <c r="L288" s="134"/>
      <c r="M288" s="134"/>
    </row>
    <row r="289" spans="1:13" outlineLevel="1">
      <c r="A289" s="47" t="str">
        <f ca="1">OFFSET(Язык!$A$472,0,LANGUAGE)</f>
        <v>Краткосрочные кредиты</v>
      </c>
      <c r="C289" s="132" t="str">
        <f t="shared" ca="1" si="169"/>
        <v>$</v>
      </c>
      <c r="D289" s="1" t="s">
        <v>1736</v>
      </c>
      <c r="F289" s="134">
        <f t="shared" ref="F289:J289" si="180">F191</f>
        <v>0</v>
      </c>
      <c r="G289" s="134">
        <f t="shared" si="180"/>
        <v>0</v>
      </c>
      <c r="H289" s="134">
        <f t="shared" si="180"/>
        <v>0</v>
      </c>
      <c r="I289" s="134">
        <f t="shared" si="180"/>
        <v>0</v>
      </c>
      <c r="J289" s="134">
        <f t="shared" si="180"/>
        <v>0</v>
      </c>
      <c r="K289" s="134">
        <f t="shared" ref="K289" si="181">K191</f>
        <v>0</v>
      </c>
      <c r="L289" s="134"/>
      <c r="M289" s="134"/>
    </row>
    <row r="290" spans="1:13" outlineLevel="1">
      <c r="A290" s="47" t="str">
        <f ca="1">OFFSET(Язык!$A$473,0,LANGUAGE)</f>
        <v>Прочие краткосрочные обязательства</v>
      </c>
      <c r="C290" s="132" t="str">
        <f t="shared" ca="1" si="169"/>
        <v>$</v>
      </c>
      <c r="D290" s="1" t="s">
        <v>1736</v>
      </c>
      <c r="F290" s="134">
        <f t="shared" ref="F290:J290" si="182">$G74+$G75+$G76+$G77</f>
        <v>0</v>
      </c>
      <c r="G290" s="134">
        <f t="shared" si="182"/>
        <v>0</v>
      </c>
      <c r="H290" s="134">
        <f t="shared" si="182"/>
        <v>0</v>
      </c>
      <c r="I290" s="134">
        <f t="shared" si="182"/>
        <v>0</v>
      </c>
      <c r="J290" s="134">
        <f t="shared" si="182"/>
        <v>0</v>
      </c>
      <c r="K290" s="134">
        <f t="shared" ref="K290" si="183">$G74+$G75+$G76+$G77</f>
        <v>0</v>
      </c>
      <c r="L290" s="134"/>
      <c r="M290" s="134"/>
    </row>
    <row r="291" spans="1:13" outlineLevel="1">
      <c r="A291" s="32" t="str">
        <f ca="1">OFFSET(Язык!$A$474,0,LANGUAGE)</f>
        <v>Суммарные краткосрочные обязательства</v>
      </c>
      <c r="C291" s="132" t="str">
        <f t="shared" ca="1" si="169"/>
        <v>$</v>
      </c>
      <c r="D291" s="1" t="s">
        <v>1736</v>
      </c>
      <c r="F291" s="134">
        <f t="shared" ref="F291:J291" si="184">F283+SUM(F286:F290)</f>
        <v>0</v>
      </c>
      <c r="G291" s="134">
        <f t="shared" si="184"/>
        <v>0</v>
      </c>
      <c r="H291" s="134">
        <f t="shared" si="184"/>
        <v>0</v>
      </c>
      <c r="I291" s="134">
        <f t="shared" si="184"/>
        <v>0</v>
      </c>
      <c r="J291" s="134">
        <f t="shared" si="184"/>
        <v>0</v>
      </c>
      <c r="K291" s="134">
        <f t="shared" ref="K291" si="185">K283+SUM(K286:K290)</f>
        <v>0</v>
      </c>
      <c r="L291" s="134"/>
      <c r="M291" s="134"/>
    </row>
    <row r="292" spans="1:13" outlineLevel="1">
      <c r="A292" s="2"/>
      <c r="F292" s="134"/>
      <c r="G292" s="134"/>
      <c r="H292" s="134"/>
      <c r="I292" s="134"/>
      <c r="J292" s="134"/>
      <c r="K292" s="134"/>
      <c r="L292" s="134"/>
      <c r="M292" s="134"/>
    </row>
    <row r="293" spans="1:13" outlineLevel="1">
      <c r="A293" s="32" t="str">
        <f ca="1">OFFSET(Язык!$A$475,0,LANGUAGE)</f>
        <v>Долгосрочные обязательства</v>
      </c>
      <c r="C293" s="132" t="str">
        <f ca="1">CUR_Main</f>
        <v>$</v>
      </c>
      <c r="D293" s="1" t="s">
        <v>1736</v>
      </c>
      <c r="F293" s="134">
        <f t="shared" ref="F293:J293" si="186">F197+$G62+$G63</f>
        <v>0</v>
      </c>
      <c r="G293" s="134">
        <f t="shared" si="186"/>
        <v>0</v>
      </c>
      <c r="H293" s="134">
        <f t="shared" si="186"/>
        <v>0</v>
      </c>
      <c r="I293" s="134">
        <f t="shared" si="186"/>
        <v>0</v>
      </c>
      <c r="J293" s="134">
        <f t="shared" si="186"/>
        <v>0</v>
      </c>
      <c r="K293" s="134">
        <f t="shared" ref="K293" si="187">K197+$G62+$G63</f>
        <v>0</v>
      </c>
      <c r="L293" s="134"/>
      <c r="M293" s="134"/>
    </row>
    <row r="294" spans="1:13" outlineLevel="1">
      <c r="A294" s="2"/>
      <c r="F294" s="134"/>
      <c r="G294" s="134"/>
      <c r="H294" s="134"/>
      <c r="I294" s="134"/>
      <c r="J294" s="134"/>
      <c r="K294" s="134"/>
      <c r="L294" s="134"/>
      <c r="M294" s="134"/>
    </row>
    <row r="295" spans="1:13" outlineLevel="1">
      <c r="A295" s="47" t="str">
        <f ca="1">OFFSET(Язык!$A$476,0,LANGUAGE)</f>
        <v>Акционерный капитал</v>
      </c>
      <c r="C295" s="132" t="str">
        <f ca="1">CUR_Main</f>
        <v>$</v>
      </c>
      <c r="D295" s="1" t="s">
        <v>1736</v>
      </c>
      <c r="F295" s="134">
        <f t="shared" ref="F295:J295" si="188">$G52+F186</f>
        <v>0</v>
      </c>
      <c r="G295" s="134">
        <f t="shared" si="188"/>
        <v>0</v>
      </c>
      <c r="H295" s="134">
        <f t="shared" si="188"/>
        <v>0</v>
      </c>
      <c r="I295" s="134">
        <f t="shared" si="188"/>
        <v>0</v>
      </c>
      <c r="J295" s="134">
        <f t="shared" si="188"/>
        <v>0</v>
      </c>
      <c r="K295" s="134">
        <f t="shared" ref="K295" si="189">$G52+K186</f>
        <v>0</v>
      </c>
      <c r="L295" s="134"/>
      <c r="M295" s="134"/>
    </row>
    <row r="296" spans="1:13" outlineLevel="1">
      <c r="A296" s="47" t="str">
        <f ca="1">OFFSET(Язык!$A$477,0,LANGUAGE)</f>
        <v>Нераспределенная прибыль</v>
      </c>
      <c r="C296" s="132" t="str">
        <f ca="1">CUR_Main</f>
        <v>$</v>
      </c>
      <c r="D296" s="1" t="s">
        <v>1736</v>
      </c>
      <c r="F296" s="134">
        <f>G58</f>
        <v>0</v>
      </c>
      <c r="G296" s="134">
        <f t="shared" ref="G296:K296" si="190">F296+G225</f>
        <v>0</v>
      </c>
      <c r="H296" s="134">
        <f t="shared" si="190"/>
        <v>0</v>
      </c>
      <c r="I296" s="134">
        <f t="shared" si="190"/>
        <v>0</v>
      </c>
      <c r="J296" s="134">
        <f t="shared" si="190"/>
        <v>0</v>
      </c>
      <c r="K296" s="134">
        <f t="shared" si="190"/>
        <v>0</v>
      </c>
      <c r="L296" s="134"/>
      <c r="M296" s="134"/>
    </row>
    <row r="297" spans="1:13" outlineLevel="1">
      <c r="A297" s="47" t="str">
        <f ca="1">OFFSET(Язык!$A$478,0,LANGUAGE)</f>
        <v>Прочие источники финансирования</v>
      </c>
      <c r="C297" s="132" t="str">
        <f ca="1">CUR_Main</f>
        <v>$</v>
      </c>
      <c r="D297" s="1" t="s">
        <v>1736</v>
      </c>
      <c r="F297" s="134">
        <f t="shared" ref="F297:J297" si="191">$G53+$G54</f>
        <v>0</v>
      </c>
      <c r="G297" s="134">
        <f t="shared" si="191"/>
        <v>0</v>
      </c>
      <c r="H297" s="134">
        <f t="shared" si="191"/>
        <v>0</v>
      </c>
      <c r="I297" s="134">
        <f t="shared" si="191"/>
        <v>0</v>
      </c>
      <c r="J297" s="134">
        <f t="shared" si="191"/>
        <v>0</v>
      </c>
      <c r="K297" s="134">
        <f t="shared" ref="K297" si="192">$G53+$G54</f>
        <v>0</v>
      </c>
      <c r="L297" s="134"/>
      <c r="M297" s="134"/>
    </row>
    <row r="298" spans="1:13" outlineLevel="1">
      <c r="A298" s="32" t="str">
        <f ca="1">OFFSET(Язык!$A$479,0,LANGUAGE)</f>
        <v>Суммарный собственный капитал</v>
      </c>
      <c r="C298" s="132" t="str">
        <f ca="1">CUR_Main</f>
        <v>$</v>
      </c>
      <c r="D298" s="1" t="s">
        <v>1736</v>
      </c>
      <c r="F298" s="134">
        <f t="shared" ref="F298:J298" si="193">SUM(F295:F297)</f>
        <v>0</v>
      </c>
      <c r="G298" s="134">
        <f t="shared" si="193"/>
        <v>0</v>
      </c>
      <c r="H298" s="134">
        <f t="shared" si="193"/>
        <v>0</v>
      </c>
      <c r="I298" s="134">
        <f t="shared" si="193"/>
        <v>0</v>
      </c>
      <c r="J298" s="134">
        <f t="shared" si="193"/>
        <v>0</v>
      </c>
      <c r="K298" s="134">
        <f t="shared" ref="K298" si="194">SUM(K295:K297)</f>
        <v>0</v>
      </c>
      <c r="L298" s="134"/>
      <c r="M298" s="134"/>
    </row>
    <row r="299" spans="1:13" outlineLevel="1">
      <c r="A299" s="47"/>
      <c r="F299" s="134"/>
      <c r="G299" s="134"/>
      <c r="H299" s="134"/>
      <c r="I299" s="134"/>
      <c r="J299" s="134"/>
      <c r="K299" s="134"/>
      <c r="L299" s="134"/>
      <c r="M299" s="134"/>
    </row>
    <row r="300" spans="1:13" outlineLevel="1">
      <c r="A300" s="85" t="str">
        <f ca="1">OFFSET(Язык!$A$480,0,LANGUAGE)</f>
        <v xml:space="preserve"> = ИТОГО ПАССИВОВ</v>
      </c>
      <c r="B300" s="154" t="str">
        <f>IF(COUNTIF(F301:K301,1)&gt;0,"Не сходится!","")</f>
        <v/>
      </c>
      <c r="C300" s="173" t="str">
        <f ca="1">CUR_Main</f>
        <v>$</v>
      </c>
      <c r="D300" s="170" t="s">
        <v>1736</v>
      </c>
      <c r="E300" s="170"/>
      <c r="F300" s="188">
        <f t="shared" ref="F300:J300" si="195">F291+F293+F298</f>
        <v>0</v>
      </c>
      <c r="G300" s="188">
        <f t="shared" si="195"/>
        <v>0</v>
      </c>
      <c r="H300" s="188">
        <f t="shared" si="195"/>
        <v>0</v>
      </c>
      <c r="I300" s="188">
        <f t="shared" si="195"/>
        <v>0</v>
      </c>
      <c r="J300" s="188">
        <f t="shared" si="195"/>
        <v>0</v>
      </c>
      <c r="K300" s="188">
        <f t="shared" ref="K300" si="196">K291+K293+K298</f>
        <v>0</v>
      </c>
      <c r="L300" s="188"/>
      <c r="M300" s="134"/>
    </row>
    <row r="301" spans="1:13" outlineLevel="1">
      <c r="A301" s="47" t="str">
        <f ca="1">OFFSET(Язык!$A$481,0,LANGUAGE)</f>
        <v>Контроль сходимости баланса</v>
      </c>
      <c r="D301" s="1" t="s">
        <v>1736</v>
      </c>
      <c r="F301" s="134">
        <f t="shared" ref="F301:J301" si="197">IF(ABS(F281-F300)&gt;1,1,0)</f>
        <v>0</v>
      </c>
      <c r="G301" s="134">
        <f t="shared" si="197"/>
        <v>0</v>
      </c>
      <c r="H301" s="134">
        <f t="shared" si="197"/>
        <v>0</v>
      </c>
      <c r="I301" s="134">
        <f t="shared" si="197"/>
        <v>0</v>
      </c>
      <c r="J301" s="134">
        <f t="shared" si="197"/>
        <v>0</v>
      </c>
      <c r="K301" s="134">
        <f t="shared" ref="K301" si="198">IF(ABS(K281-K300)&gt;1,1,0)</f>
        <v>0</v>
      </c>
      <c r="L301" s="134"/>
      <c r="M301" s="134"/>
    </row>
  </sheetData>
  <phoneticPr fontId="0" type="noConversion"/>
  <dataValidations count="1">
    <dataValidation type="whole" allowBlank="1" showInputMessage="1" showErrorMessage="1" errorTitle="Альт-Инвест" error="Допустимые значения в этой ячейке: 1 или 2" sqref="F108">
      <formula1>1</formula1>
      <formula2>2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M1281"/>
  <sheetViews>
    <sheetView tabSelected="1" workbookViewId="0">
      <selection activeCell="C3" sqref="C3"/>
    </sheetView>
  </sheetViews>
  <sheetFormatPr defaultRowHeight="11.25" outlineLevelRow="2"/>
  <cols>
    <col min="1" max="1" width="50.83203125" style="2" customWidth="1"/>
    <col min="2" max="3" width="12.83203125" style="6" customWidth="1"/>
    <col min="4" max="4" width="5.83203125" style="2" hidden="1" customWidth="1"/>
    <col min="5" max="5" width="6" style="2" hidden="1" customWidth="1"/>
    <col min="6" max="11" width="11.83203125" style="2" customWidth="1"/>
    <col min="12" max="12" width="1.83203125" style="2" customWidth="1"/>
    <col min="13" max="13" width="12.83203125" style="2" customWidth="1"/>
    <col min="14" max="16384" width="9.33203125" style="2"/>
  </cols>
  <sheetData>
    <row r="1" spans="1:5" ht="20.25">
      <c r="A1" s="131"/>
      <c r="C1" s="104"/>
    </row>
    <row r="2" spans="1:5" ht="15">
      <c r="A2" s="3"/>
    </row>
    <row r="3" spans="1:5" ht="18">
      <c r="A3" s="244" t="s">
        <v>2398</v>
      </c>
    </row>
    <row r="4" spans="1:5">
      <c r="A4" s="2" t="str">
        <f ca="1">OFFSET(Язык!$A$33,0,LANGUAGE)</f>
        <v>Название проекта:</v>
      </c>
    </row>
    <row r="5" spans="1:5">
      <c r="A5" s="4" t="s">
        <v>2392</v>
      </c>
      <c r="B5" s="7"/>
      <c r="C5" s="7"/>
    </row>
    <row r="7" spans="1:5">
      <c r="A7" s="15" t="str">
        <f ca="1">OFFSET(Язык!$A$34,0,LANGUAGE)</f>
        <v>Дата начала проекта</v>
      </c>
      <c r="B7" s="200">
        <f>PRJ_StartDate</f>
        <v>40179</v>
      </c>
      <c r="C7" s="78"/>
      <c r="D7" s="20">
        <f>DATE(PRJ_StartYear,PRJ_StartMon,1)</f>
        <v>40179</v>
      </c>
      <c r="E7" s="20"/>
    </row>
    <row r="8" spans="1:5">
      <c r="A8" s="15" t="str">
        <f ca="1">OFFSET(Язык!$A$35,0,LANGUAGE)</f>
        <v>Срок жизни проекта</v>
      </c>
      <c r="B8" s="16" t="str">
        <f ca="1">PRJ_Len &amp; " " &amp; OFFSET(Язык!$A$24,PRJ_StepType-1,LANGUAGE)</f>
        <v>5 лет</v>
      </c>
      <c r="C8" s="78"/>
      <c r="D8" s="2">
        <v>5</v>
      </c>
    </row>
    <row r="9" spans="1:5">
      <c r="A9" s="15" t="str">
        <f ca="1">OFFSET(Язык!$A$36,0,LANGUAGE)</f>
        <v>Шаг планирования</v>
      </c>
      <c r="B9" s="16" t="str">
        <f ca="1">OFFSET(Язык!$A$19,PRJ_StepType-1,LANGUAGE)</f>
        <v>год</v>
      </c>
      <c r="C9" s="78"/>
      <c r="D9" s="2">
        <v>4</v>
      </c>
      <c r="E9" s="2" t="str">
        <f ca="1">OFFSET(Язык!$A$24,PRJ_StepType-1,LANGUAGE)</f>
        <v>лет</v>
      </c>
    </row>
    <row r="10" spans="1:5">
      <c r="A10" s="15" t="str">
        <f ca="1">OFFSET(Язык!$A$37,0,LANGUAGE)</f>
        <v>Длительность шага планирования</v>
      </c>
      <c r="B10" s="16" t="str">
        <f ca="1">TEXT(PRJ_Step,"#") &amp; " " &amp; OFFSET(Язык!$A$23,0,LANGUAGE)</f>
        <v>360 дн.</v>
      </c>
      <c r="C10" s="78"/>
      <c r="D10" s="2">
        <f>CHOOSE(PRJ_StepType,30,90,180,360)</f>
        <v>360</v>
      </c>
    </row>
    <row r="11" spans="1:5">
      <c r="A11" s="15" t="str">
        <f ca="1">OFFSET(Язык!$A$38,0,LANGUAGE)</f>
        <v>Основная валюта расчета</v>
      </c>
      <c r="B11" s="16" t="str">
        <f ca="1">OFFSET(Язык!$A$9,CUR_I_Main,LANGUAGE)</f>
        <v>$</v>
      </c>
      <c r="C11" s="78"/>
      <c r="D11" s="2">
        <v>1</v>
      </c>
    </row>
    <row r="12" spans="1:5">
      <c r="A12" s="15"/>
      <c r="B12" s="16"/>
      <c r="C12" s="78"/>
      <c r="D12" s="2">
        <v>1</v>
      </c>
    </row>
    <row r="13" spans="1:5">
      <c r="A13" s="15"/>
      <c r="B13" s="31"/>
      <c r="C13" s="78"/>
    </row>
    <row r="14" spans="1:5">
      <c r="A14" s="17"/>
      <c r="B14" s="31"/>
      <c r="C14" s="78"/>
    </row>
    <row r="15" spans="1:5">
      <c r="A15" s="79"/>
      <c r="B15" s="80"/>
      <c r="C15" s="81"/>
    </row>
    <row r="17" spans="1:13">
      <c r="A17" s="15"/>
      <c r="B17" s="16"/>
      <c r="C17" s="78"/>
      <c r="D17" s="2">
        <v>0</v>
      </c>
    </row>
    <row r="18" spans="1:13">
      <c r="A18" s="15"/>
      <c r="B18" s="16"/>
      <c r="C18" s="78"/>
      <c r="D18" s="2" t="b">
        <v>1</v>
      </c>
    </row>
    <row r="19" spans="1:13">
      <c r="A19" s="15"/>
      <c r="B19" s="16"/>
      <c r="C19" s="78"/>
      <c r="D19" s="2">
        <v>1</v>
      </c>
    </row>
    <row r="20" spans="1:13">
      <c r="A20" s="15"/>
      <c r="B20" s="16"/>
      <c r="C20" s="78"/>
      <c r="D20" s="2" t="b">
        <v>1</v>
      </c>
    </row>
    <row r="21" spans="1:13">
      <c r="A21" s="15"/>
      <c r="B21" s="16"/>
      <c r="C21" s="78"/>
    </row>
    <row r="22" spans="1:13">
      <c r="A22" s="15"/>
      <c r="B22" s="16"/>
      <c r="C22" s="78"/>
    </row>
    <row r="23" spans="1:13" collapsed="1">
      <c r="A23" s="79"/>
      <c r="B23" s="82"/>
      <c r="C23" s="81"/>
    </row>
    <row r="24" spans="1:13" ht="11.25" hidden="1" customHeight="1" outlineLevel="2"/>
    <row r="25" spans="1:13" ht="11.25" hidden="1" customHeight="1" outlineLevel="2">
      <c r="A25" s="2" t="str">
        <f ca="1">OFFSET(Язык!$A$44,0,LANGUAGE)</f>
        <v>Год начала проекта</v>
      </c>
      <c r="D25" s="2" t="s">
        <v>1735</v>
      </c>
      <c r="F25" s="6">
        <v>2010</v>
      </c>
    </row>
    <row r="26" spans="1:13" ht="11.25" hidden="1" customHeight="1" outlineLevel="2">
      <c r="A26" s="2" t="str">
        <f ca="1">OFFSET(Язык!$A$45,0,LANGUAGE)</f>
        <v>Месяц начала проекта</v>
      </c>
      <c r="D26" s="2" t="s">
        <v>1735</v>
      </c>
      <c r="F26" s="6">
        <v>1</v>
      </c>
    </row>
    <row r="27" spans="1:13" ht="11.25" hidden="1" customHeight="1" outlineLevel="2">
      <c r="A27" s="2" t="str">
        <f ca="1">OFFSET(Язык!$A$46,0,LANGUAGE)</f>
        <v>Номера периодов</v>
      </c>
      <c r="D27" s="2" t="s">
        <v>1735</v>
      </c>
      <c r="F27" s="6">
        <v>0</v>
      </c>
      <c r="G27" s="6">
        <f t="shared" ref="G27:K27" si="0">F27+1</f>
        <v>1</v>
      </c>
      <c r="H27" s="6">
        <f t="shared" si="0"/>
        <v>2</v>
      </c>
      <c r="I27" s="6">
        <f t="shared" si="0"/>
        <v>3</v>
      </c>
      <c r="J27" s="6">
        <f t="shared" si="0"/>
        <v>4</v>
      </c>
      <c r="K27" s="6">
        <f t="shared" si="0"/>
        <v>5</v>
      </c>
      <c r="L27" s="6"/>
    </row>
    <row r="28" spans="1:13" ht="11.25" hidden="1" customHeight="1" outlineLevel="2">
      <c r="A28" s="2" t="str">
        <f ca="1">OFFSET(Язык!$A$47,0,LANGUAGE)</f>
        <v>Наименования периодов без учета дат</v>
      </c>
      <c r="D28" s="2" t="s">
        <v>1735</v>
      </c>
      <c r="F28" s="6" t="s">
        <v>381</v>
      </c>
      <c r="G28" s="6" t="str">
        <f ca="1">TEXT(G27,"#") &amp; " " &amp; OFFSET(Язык!$A867,PRJ_StepType-1,LANGUAGE)</f>
        <v>1 год</v>
      </c>
      <c r="H28" s="6" t="str">
        <f ca="1">TEXT(H27,"#") &amp; " " &amp; OFFSET(Язык!$A867,PRJ_StepType-1,LANGUAGE)</f>
        <v>2 год</v>
      </c>
      <c r="I28" s="6" t="str">
        <f ca="1">TEXT(I27,"#") &amp; " " &amp; OFFSET(Язык!$A867,PRJ_StepType-1,LANGUAGE)</f>
        <v>3 год</v>
      </c>
      <c r="J28" s="6" t="str">
        <f ca="1">TEXT(J27,"#") &amp; " " &amp; OFFSET(Язык!$A867,PRJ_StepType-1,LANGUAGE)</f>
        <v>4 год</v>
      </c>
      <c r="K28" s="6" t="str">
        <f ca="1">TEXT(K27,"#") &amp; " " &amp; OFFSET(Язык!$A867,PRJ_StepType-1,LANGUAGE)</f>
        <v>5 год</v>
      </c>
      <c r="L28" s="6"/>
    </row>
    <row r="29" spans="1:13" ht="11.25" hidden="1" customHeight="1" outlineLevel="2">
      <c r="A29" s="2" t="str">
        <f ca="1">OFFSET(Язык!$A$48,0,LANGUAGE)</f>
        <v>Дата начала периода</v>
      </c>
      <c r="D29" s="2" t="s">
        <v>1735</v>
      </c>
      <c r="F29" s="6"/>
      <c r="G29" s="36">
        <f>DATE(PRJ_StartYear,PRJ_StartMon,1)</f>
        <v>40179</v>
      </c>
      <c r="H29" s="36">
        <f t="shared" ref="H29:K29" si="1">DATE(YEAR(G29),MONTH(G29)+PRJ_Step/30,1)</f>
        <v>40544</v>
      </c>
      <c r="I29" s="36">
        <f t="shared" si="1"/>
        <v>40909</v>
      </c>
      <c r="J29" s="36">
        <f t="shared" si="1"/>
        <v>41275</v>
      </c>
      <c r="K29" s="36">
        <f t="shared" si="1"/>
        <v>41640</v>
      </c>
      <c r="L29" s="6"/>
    </row>
    <row r="30" spans="1:13" ht="11.25" hidden="1" customHeight="1" outlineLevel="2">
      <c r="A30" s="2" t="str">
        <f ca="1">OFFSET(Язык!$A$49,0,LANGUAGE)</f>
        <v>Наименования периодов с учетом дат</v>
      </c>
      <c r="D30" s="2" t="s">
        <v>1735</v>
      </c>
      <c r="F30" s="6" t="s">
        <v>381</v>
      </c>
      <c r="G30" s="6" t="str">
        <f ca="1">CHOOSE(PRJ_StepType,MONTH(G29) &amp; "/",ROUNDUP(MONTH(G29)/3,0) &amp; " " &amp; OFFSET(Язык!$A25,0,LANGUAGE),ROUNDUP(MONTH(G29)/6,0) &amp; "/","") &amp; " " &amp; YEAR(G29)</f>
        <v xml:space="preserve"> 2010</v>
      </c>
      <c r="H30" s="6" t="str">
        <f ca="1">CHOOSE(PRJ_StepType,MONTH(H29) &amp; "/",ROUNDUP(MONTH(H29)/3,0) &amp; " " &amp; OFFSET(Язык!$A25,0,LANGUAGE),ROUNDUP(MONTH(H29)/6,0) &amp; "/","") &amp; " " &amp; YEAR(H29)</f>
        <v xml:space="preserve"> 2011</v>
      </c>
      <c r="I30" s="6" t="str">
        <f ca="1">CHOOSE(PRJ_StepType,MONTH(I29) &amp; "/",ROUNDUP(MONTH(I29)/3,0) &amp; " " &amp; OFFSET(Язык!$A25,0,LANGUAGE),ROUNDUP(MONTH(I29)/6,0) &amp; "/","") &amp; " " &amp; YEAR(I29)</f>
        <v xml:space="preserve"> 2012</v>
      </c>
      <c r="J30" s="6" t="str">
        <f ca="1">CHOOSE(PRJ_StepType,MONTH(J29) &amp; "/",ROUNDUP(MONTH(J29)/3,0) &amp; " " &amp; OFFSET(Язык!$A25,0,LANGUAGE),ROUNDUP(MONTH(J29)/6,0) &amp; "/","") &amp; " " &amp; YEAR(J29)</f>
        <v xml:space="preserve"> 2013</v>
      </c>
      <c r="K30" s="6" t="str">
        <f ca="1">CHOOSE(PRJ_StepType,MONTH(K29) &amp; "/",ROUNDUP(MONTH(K29)/3,0) &amp; " " &amp; OFFSET(Язык!$A25,0,LANGUAGE),ROUNDUP(MONTH(K29)/6,0) &amp; "/","") &amp; " " &amp; YEAR(K29)</f>
        <v xml:space="preserve"> 2014</v>
      </c>
      <c r="L30" s="6"/>
    </row>
    <row r="31" spans="1:13" ht="12" thickBot="1"/>
    <row r="32" spans="1:13" ht="15.95" hidden="1" customHeight="1" thickTop="1" thickBot="1">
      <c r="A32" s="18" t="s">
        <v>554</v>
      </c>
      <c r="B32" s="19"/>
      <c r="C32" s="19"/>
      <c r="D32" s="18"/>
      <c r="E32" s="18"/>
      <c r="F32" s="19" t="s">
        <v>381</v>
      </c>
      <c r="G32" s="19" t="str">
        <f t="shared" ref="G32:K32" ca="1" si="2">IF(ShowRealDates,G$30,G$28)</f>
        <v xml:space="preserve"> 2010</v>
      </c>
      <c r="H32" s="19" t="str">
        <f t="shared" ca="1" si="2"/>
        <v xml:space="preserve"> 2011</v>
      </c>
      <c r="I32" s="19" t="str">
        <f t="shared" ca="1" si="2"/>
        <v xml:space="preserve"> 2012</v>
      </c>
      <c r="J32" s="19" t="str">
        <f t="shared" ca="1" si="2"/>
        <v xml:space="preserve"> 2013</v>
      </c>
      <c r="K32" s="19" t="str">
        <f t="shared" ca="1" si="2"/>
        <v xml:space="preserve"> 2014</v>
      </c>
      <c r="L32" s="19"/>
      <c r="M32" s="23" t="str">
        <f ca="1">OFFSET(Язык!$A$77,0,LANGUAGE)</f>
        <v>ИТОГО</v>
      </c>
    </row>
    <row r="33" spans="1:1" ht="12" hidden="1" thickBot="1"/>
    <row r="34" spans="1:1" ht="12" hidden="1" thickBot="1">
      <c r="A34" s="32"/>
    </row>
    <row r="35" spans="1:1" ht="12" hidden="1" thickBot="1"/>
    <row r="36" spans="1:1" ht="12" hidden="1" thickBot="1"/>
    <row r="37" spans="1:1" ht="12" hidden="1" thickBot="1"/>
    <row r="38" spans="1:1" ht="12" hidden="1" thickBot="1"/>
    <row r="39" spans="1:1" ht="12" hidden="1" thickBot="1"/>
    <row r="40" spans="1:1" ht="12" hidden="1" thickBot="1"/>
    <row r="41" spans="1:1" ht="12" hidden="1" thickBot="1"/>
    <row r="42" spans="1:1" ht="12" hidden="1" thickBot="1"/>
    <row r="43" spans="1:1" ht="12" hidden="1" thickBot="1"/>
    <row r="44" spans="1:1" ht="12" hidden="1" thickBot="1"/>
    <row r="45" spans="1:1" ht="12" hidden="1" thickBot="1"/>
    <row r="46" spans="1:1" ht="12" hidden="1" thickBot="1"/>
    <row r="47" spans="1:1" ht="12" hidden="1" thickBot="1"/>
    <row r="48" spans="1:1" ht="12" hidden="1" thickBot="1">
      <c r="A48" s="32"/>
    </row>
    <row r="49" spans="1:1" ht="12" hidden="1" thickBot="1"/>
    <row r="50" spans="1:1" ht="12" hidden="1" thickBot="1"/>
    <row r="51" spans="1:1" ht="12" hidden="1" thickBot="1"/>
    <row r="52" spans="1:1" ht="12" hidden="1" thickBot="1"/>
    <row r="53" spans="1:1" ht="12" hidden="1" thickBot="1"/>
    <row r="54" spans="1:1" ht="12" hidden="1" thickBot="1"/>
    <row r="55" spans="1:1" ht="12" hidden="1" thickBot="1">
      <c r="A55" s="32"/>
    </row>
    <row r="56" spans="1:1" ht="12" hidden="1" thickBot="1"/>
    <row r="57" spans="1:1" ht="12" hidden="1" thickBot="1"/>
    <row r="58" spans="1:1" ht="12" hidden="1" thickBot="1"/>
    <row r="59" spans="1:1" ht="12" hidden="1" thickBot="1"/>
    <row r="60" spans="1:1" ht="12" hidden="1" thickBot="1"/>
    <row r="61" spans="1:1" ht="12" hidden="1" thickBot="1">
      <c r="A61" s="32"/>
    </row>
    <row r="62" spans="1:1" ht="12" hidden="1" thickBot="1"/>
    <row r="63" spans="1:1" ht="12" hidden="1" thickBot="1"/>
    <row r="64" spans="1:1" ht="12" hidden="1" thickBot="1"/>
    <row r="65" spans="1:1" ht="12" hidden="1" thickBot="1"/>
    <row r="66" spans="1:1" ht="12" hidden="1" thickBot="1"/>
    <row r="67" spans="1:1" ht="12" hidden="1" thickBot="1"/>
    <row r="68" spans="1:1" ht="12" hidden="1" thickBot="1"/>
    <row r="69" spans="1:1" ht="12" hidden="1" thickBot="1"/>
    <row r="70" spans="1:1" ht="12" hidden="1" thickBot="1"/>
    <row r="71" spans="1:1" ht="12" hidden="1" thickBot="1"/>
    <row r="72" spans="1:1" ht="12" hidden="1" thickBot="1"/>
    <row r="73" spans="1:1" ht="12" hidden="1" thickBot="1"/>
    <row r="74" spans="1:1" ht="12" hidden="1" thickBot="1"/>
    <row r="75" spans="1:1" ht="12" hidden="1" thickBot="1">
      <c r="A75" s="32"/>
    </row>
    <row r="76" spans="1:1" ht="12" hidden="1" thickBot="1"/>
    <row r="77" spans="1:1" ht="12" hidden="1" thickBot="1"/>
    <row r="78" spans="1:1" ht="12" hidden="1" thickBot="1"/>
    <row r="79" spans="1:1" ht="12" hidden="1" thickBot="1"/>
    <row r="80" spans="1:1" ht="12" hidden="1" thickBot="1"/>
    <row r="81" spans="1:13" ht="12" hidden="1" thickBot="1"/>
    <row r="82" spans="1:13" ht="12" hidden="1" thickBot="1"/>
    <row r="83" spans="1:13" ht="12" hidden="1" thickBot="1"/>
    <row r="84" spans="1:13" ht="12" hidden="1" thickBot="1"/>
    <row r="85" spans="1:13" ht="12" hidden="1" thickBot="1"/>
    <row r="86" spans="1:13" ht="15.95" customHeight="1" collapsed="1" thickTop="1" thickBot="1">
      <c r="A86" s="18"/>
      <c r="B86" s="19"/>
      <c r="C86" s="19"/>
      <c r="D86" s="18"/>
      <c r="E86" s="18"/>
      <c r="F86" s="19" t="str">
        <f t="shared" ref="F86" si="3">IF(ShowRealDates,F30,F28)</f>
        <v>"0"</v>
      </c>
      <c r="G86" s="19">
        <v>2013</v>
      </c>
      <c r="H86" s="19">
        <v>2014</v>
      </c>
      <c r="I86" s="19">
        <v>2015</v>
      </c>
      <c r="J86" s="19">
        <v>2016</v>
      </c>
      <c r="K86" s="19">
        <v>2017</v>
      </c>
      <c r="L86" s="19"/>
      <c r="M86" s="19"/>
    </row>
    <row r="87" spans="1:13" ht="12" hidden="1" outlineLevel="1" thickTop="1">
      <c r="A87" s="89"/>
      <c r="B87" s="90"/>
      <c r="C87" s="90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hidden="1" outlineLevel="1">
      <c r="A88" s="11" t="str">
        <f ca="1">OFFSET(Язык!$A$51,0,LANGUAGE)</f>
        <v>Метод расчета</v>
      </c>
      <c r="B88" s="33" t="str">
        <f ca="1">OFFSET(Язык!$A$68,CalcMethod-1,LANGUAGE)</f>
        <v>Текущие цены</v>
      </c>
      <c r="C88" s="12"/>
      <c r="D88" s="11" t="s">
        <v>1735</v>
      </c>
      <c r="E88" s="11"/>
      <c r="F88" s="14">
        <v>2</v>
      </c>
      <c r="G88" s="13" t="str">
        <f ca="1">OFFSET(Язык!$A$70,CalcMethod-1,LANGUAGE)</f>
        <v>(инфляция учитывается)</v>
      </c>
      <c r="H88" s="11"/>
      <c r="I88" s="11"/>
      <c r="J88" s="11"/>
      <c r="K88" s="11"/>
      <c r="L88" s="11"/>
      <c r="M88" s="11"/>
    </row>
    <row r="89" spans="1:13" hidden="1" outlineLevel="1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</row>
    <row r="90" spans="1:13" hidden="1" outlineLevel="1">
      <c r="A90" s="11" t="str">
        <f ca="1">OFFSET(Язык!$A$52,0,LANGUAGE)</f>
        <v>Предполагаемый темп годового роста цен</v>
      </c>
    </row>
    <row r="91" spans="1:13" hidden="1" outlineLevel="1" collapsed="1">
      <c r="A91" s="11" t="str">
        <f ca="1">OFFSET(Язык!$A$53,0,LANGUAGE)</f>
        <v>для основной валюты</v>
      </c>
      <c r="C91" s="6" t="s">
        <v>385</v>
      </c>
      <c r="D91" s="2" t="s">
        <v>1746</v>
      </c>
      <c r="F91" s="8">
        <v>0.1</v>
      </c>
      <c r="G91" s="8">
        <f t="shared" ref="G91:K91" si="4">F91</f>
        <v>0.1</v>
      </c>
      <c r="H91" s="8">
        <f t="shared" si="4"/>
        <v>0.1</v>
      </c>
      <c r="I91" s="8">
        <f t="shared" si="4"/>
        <v>0.1</v>
      </c>
      <c r="J91" s="8">
        <f t="shared" si="4"/>
        <v>0.1</v>
      </c>
      <c r="K91" s="8">
        <f t="shared" si="4"/>
        <v>0.1</v>
      </c>
    </row>
    <row r="92" spans="1:13" ht="11.25" hidden="1" customHeight="1" outlineLevel="2">
      <c r="A92" s="11" t="str">
        <f ca="1">OFFSET(Язык!$A$54,0,LANGUAGE)</f>
        <v>То же, в пересчете на период, равный шагу проекта</v>
      </c>
      <c r="C92" s="6" t="s">
        <v>385</v>
      </c>
      <c r="D92" s="2" t="s">
        <v>1746</v>
      </c>
      <c r="F92" s="9">
        <f t="shared" ref="F92:J92" si="5">POWER(1+F91,PRJ_Step/360)-1</f>
        <v>0.10000000000000009</v>
      </c>
      <c r="G92" s="9">
        <f t="shared" si="5"/>
        <v>0.10000000000000009</v>
      </c>
      <c r="H92" s="9">
        <f t="shared" si="5"/>
        <v>0.10000000000000009</v>
      </c>
      <c r="I92" s="9">
        <f t="shared" si="5"/>
        <v>0.10000000000000009</v>
      </c>
      <c r="J92" s="9">
        <f t="shared" si="5"/>
        <v>0.10000000000000009</v>
      </c>
      <c r="K92" s="9">
        <f t="shared" ref="K92" si="6">POWER(1+K91,PRJ_Step/360)-1</f>
        <v>0.10000000000000009</v>
      </c>
    </row>
    <row r="93" spans="1:13" ht="11.25" hidden="1" customHeight="1" outlineLevel="2">
      <c r="A93" s="11" t="str">
        <f ca="1">OFFSET(Язык!$A$856,0,LANGUAGE)</f>
        <v>Инфляция нарастающим итогом</v>
      </c>
      <c r="F93" s="10">
        <v>1</v>
      </c>
      <c r="G93" s="10">
        <f t="shared" ref="G93:K93" si="7">F93*(1+G92)</f>
        <v>1.1000000000000001</v>
      </c>
      <c r="H93" s="10">
        <f t="shared" si="7"/>
        <v>1.2100000000000002</v>
      </c>
      <c r="I93" s="10">
        <f t="shared" si="7"/>
        <v>1.3310000000000004</v>
      </c>
      <c r="J93" s="10">
        <f t="shared" si="7"/>
        <v>1.4641000000000006</v>
      </c>
      <c r="K93" s="10">
        <f t="shared" si="7"/>
        <v>1.6105100000000008</v>
      </c>
    </row>
    <row r="94" spans="1:13" ht="11.25" hidden="1" customHeight="1" outlineLevel="2">
      <c r="A94" s="11" t="str">
        <f ca="1">OFFSET(Язык!$A$55,0,LANGUAGE) &amp; IF(CalcMethod=1,OFFSET(Язык!$A$878,0,LANGUAGE),"")</f>
        <v>Множитель прироста цен для основной валюты</v>
      </c>
      <c r="D94" s="2" t="s">
        <v>1746</v>
      </c>
      <c r="F94" s="10">
        <v>1</v>
      </c>
      <c r="G94" s="10">
        <f t="shared" ref="G94:K94" si="8">IF(CalcMethod=2,1+F92,1)</f>
        <v>1.1000000000000001</v>
      </c>
      <c r="H94" s="10">
        <f t="shared" si="8"/>
        <v>1.1000000000000001</v>
      </c>
      <c r="I94" s="10">
        <f t="shared" si="8"/>
        <v>1.1000000000000001</v>
      </c>
      <c r="J94" s="10">
        <f t="shared" si="8"/>
        <v>1.1000000000000001</v>
      </c>
      <c r="K94" s="10">
        <f t="shared" si="8"/>
        <v>1.1000000000000001</v>
      </c>
    </row>
    <row r="95" spans="1:13" ht="11.25" hidden="1" customHeight="1" outlineLevel="1"/>
    <row r="96" spans="1:13" hidden="1" outlineLevel="1">
      <c r="A96" s="11" t="str">
        <f ca="1">OFFSET(Язык!$A$56,0,LANGUAGE)</f>
        <v>Предполагаемый годовой темп прироста</v>
      </c>
    </row>
    <row r="97" spans="1:13" hidden="1" outlineLevel="1">
      <c r="A97" s="11" t="str">
        <f ca="1">OFFSET(Язык!$A$57,0,LANGUAGE)</f>
        <v>обменного курса иностранной валюты</v>
      </c>
      <c r="C97" s="6" t="s">
        <v>385</v>
      </c>
      <c r="D97" s="2" t="s">
        <v>1746</v>
      </c>
      <c r="F97" s="8">
        <v>0</v>
      </c>
      <c r="G97" s="8">
        <f t="shared" ref="G97:K97" si="9">F97</f>
        <v>0</v>
      </c>
      <c r="H97" s="8">
        <f t="shared" si="9"/>
        <v>0</v>
      </c>
      <c r="I97" s="8">
        <f t="shared" si="9"/>
        <v>0</v>
      </c>
      <c r="J97" s="8">
        <f t="shared" si="9"/>
        <v>0</v>
      </c>
      <c r="K97" s="8">
        <f t="shared" si="9"/>
        <v>0</v>
      </c>
    </row>
    <row r="98" spans="1:13" hidden="1" outlineLevel="1">
      <c r="A98" s="11" t="str">
        <f ca="1">OFFSET(Язык!$A$58,0,LANGUAGE) &amp; " (" &amp; OFFSET(Язык!$A$9,CUR_I_Main,LANGUAGE) &amp; " / " &amp; OFFSET(Язык!$A$9,CUR_I_Foreign,LANGUAGE) &amp; " )"</f>
        <v>Курс валюты ($ / $ )</v>
      </c>
      <c r="D98" s="2" t="s">
        <v>1746</v>
      </c>
      <c r="F98" s="233">
        <v>150</v>
      </c>
      <c r="G98" s="234">
        <f t="shared" ref="G98:K98" si="10">IF(CalcMethod=2,F98*POWER(1+F97,PRJ_Step/360),F98)</f>
        <v>150</v>
      </c>
      <c r="H98" s="234">
        <f t="shared" si="10"/>
        <v>150</v>
      </c>
      <c r="I98" s="234">
        <f t="shared" si="10"/>
        <v>150</v>
      </c>
      <c r="J98" s="234">
        <f t="shared" si="10"/>
        <v>150</v>
      </c>
      <c r="K98" s="234">
        <f t="shared" si="10"/>
        <v>150</v>
      </c>
    </row>
    <row r="99" spans="1:13" hidden="1" outlineLevel="1"/>
    <row r="100" spans="1:13" hidden="1" outlineLevel="1">
      <c r="A100" s="11" t="str">
        <f ca="1">OFFSET(Язык!$A$59,0,LANGUAGE)</f>
        <v>Предполагаемый темп годового роста цен</v>
      </c>
    </row>
    <row r="101" spans="1:13" hidden="1" outlineLevel="1" collapsed="1">
      <c r="A101" s="11" t="str">
        <f ca="1">OFFSET(Язык!$A$60,0,LANGUAGE)</f>
        <v>для иностранной валюты</v>
      </c>
      <c r="C101" s="6" t="s">
        <v>385</v>
      </c>
      <c r="D101" s="2" t="s">
        <v>1746</v>
      </c>
      <c r="F101" s="8">
        <v>0.1</v>
      </c>
      <c r="G101" s="8">
        <f t="shared" ref="G101:K101" si="11">F101</f>
        <v>0.1</v>
      </c>
      <c r="H101" s="8">
        <f t="shared" si="11"/>
        <v>0.1</v>
      </c>
      <c r="I101" s="8">
        <f t="shared" si="11"/>
        <v>0.1</v>
      </c>
      <c r="J101" s="8">
        <f t="shared" si="11"/>
        <v>0.1</v>
      </c>
      <c r="K101" s="8">
        <f t="shared" si="11"/>
        <v>0.1</v>
      </c>
    </row>
    <row r="102" spans="1:13" hidden="1" outlineLevel="2">
      <c r="A102" s="11" t="str">
        <f ca="1">OFFSET(Язык!$A$61,0,LANGUAGE)</f>
        <v>То же, в пересчете на период, равный шагу проекта</v>
      </c>
      <c r="C102" s="6" t="s">
        <v>385</v>
      </c>
      <c r="D102" s="2" t="s">
        <v>1746</v>
      </c>
      <c r="F102" s="9">
        <f t="shared" ref="F102:J102" si="12">POWER(1+F101,PRJ_Step/360)-1</f>
        <v>0.10000000000000009</v>
      </c>
      <c r="G102" s="9">
        <f t="shared" si="12"/>
        <v>0.10000000000000009</v>
      </c>
      <c r="H102" s="9">
        <f t="shared" si="12"/>
        <v>0.10000000000000009</v>
      </c>
      <c r="I102" s="9">
        <f t="shared" si="12"/>
        <v>0.10000000000000009</v>
      </c>
      <c r="J102" s="9">
        <f t="shared" si="12"/>
        <v>0.10000000000000009</v>
      </c>
      <c r="K102" s="9">
        <f t="shared" ref="K102" si="13">POWER(1+K101,PRJ_Step/360)-1</f>
        <v>0.10000000000000009</v>
      </c>
    </row>
    <row r="103" spans="1:13" hidden="1" outlineLevel="2">
      <c r="A103" s="11" t="str">
        <f ca="1">OFFSET(Язык!$A$856,0,LANGUAGE)</f>
        <v>Инфляция нарастающим итогом</v>
      </c>
      <c r="F103" s="10">
        <v>1</v>
      </c>
      <c r="G103" s="10">
        <f t="shared" ref="G103:K103" si="14">F103*(1+G102)</f>
        <v>1.1000000000000001</v>
      </c>
      <c r="H103" s="10">
        <f t="shared" si="14"/>
        <v>1.2100000000000002</v>
      </c>
      <c r="I103" s="10">
        <f t="shared" si="14"/>
        <v>1.3310000000000004</v>
      </c>
      <c r="J103" s="10">
        <f t="shared" si="14"/>
        <v>1.4641000000000006</v>
      </c>
      <c r="K103" s="10">
        <f t="shared" si="14"/>
        <v>1.6105100000000008</v>
      </c>
    </row>
    <row r="104" spans="1:13" hidden="1" outlineLevel="2">
      <c r="A104" s="11" t="str">
        <f ca="1">OFFSET(Язык!$A$62,0,LANGUAGE) &amp; IF(CalcMethod=1,OFFSET(Язык!$A$878,0,LANGUAGE),"")</f>
        <v>Множитель прироста цен для иностранной валюты</v>
      </c>
      <c r="D104" s="2" t="s">
        <v>1746</v>
      </c>
      <c r="F104" s="10">
        <v>1</v>
      </c>
      <c r="G104" s="10">
        <f t="shared" ref="G104:K104" si="15">IF(CalcMethod=2,1+F102,1)</f>
        <v>1.1000000000000001</v>
      </c>
      <c r="H104" s="10">
        <f t="shared" si="15"/>
        <v>1.1000000000000001</v>
      </c>
      <c r="I104" s="10">
        <f t="shared" si="15"/>
        <v>1.1000000000000001</v>
      </c>
      <c r="J104" s="10">
        <f t="shared" si="15"/>
        <v>1.1000000000000001</v>
      </c>
      <c r="K104" s="10">
        <f t="shared" si="15"/>
        <v>1.1000000000000001</v>
      </c>
    </row>
    <row r="105" spans="1:13" hidden="1" outlineLevel="1"/>
    <row r="106" spans="1:13" hidden="1" outlineLevel="1">
      <c r="A106" s="11" t="str">
        <f ca="1">OFFSET(Язык!$A$63,0,LANGUAGE)</f>
        <v>Ставка рефинансирования ЦБ</v>
      </c>
      <c r="C106" s="6" t="s">
        <v>385</v>
      </c>
      <c r="D106" s="2" t="s">
        <v>1746</v>
      </c>
      <c r="F106" s="8">
        <v>0.13</v>
      </c>
      <c r="G106" s="8">
        <f t="shared" ref="G106:K106" si="16">F106</f>
        <v>0.13</v>
      </c>
      <c r="H106" s="8">
        <f t="shared" si="16"/>
        <v>0.13</v>
      </c>
      <c r="I106" s="8">
        <f t="shared" si="16"/>
        <v>0.13</v>
      </c>
      <c r="J106" s="8">
        <f t="shared" si="16"/>
        <v>0.13</v>
      </c>
      <c r="K106" s="8">
        <f t="shared" si="16"/>
        <v>0.13</v>
      </c>
    </row>
    <row r="107" spans="1:13" hidden="1" outlineLevel="1">
      <c r="A107" s="11" t="str">
        <f ca="1">OFFSET(Язык!$A$64,0,LANGUAGE)</f>
        <v>Ставка процентов по кредитам, в пределах которой</v>
      </c>
    </row>
    <row r="108" spans="1:13" hidden="1" outlineLevel="1">
      <c r="A108" s="11" t="str">
        <f ca="1">OFFSET(Язык!$A$65,0,LANGUAGE)</f>
        <v>уменьшается налогооблагаемая прибыль:</v>
      </c>
    </row>
    <row r="109" spans="1:13" hidden="1" outlineLevel="1">
      <c r="A109" s="11" t="str">
        <f ca="1">OFFSET(Язык!$A$66,0,LANGUAGE)</f>
        <v>основная валюта</v>
      </c>
      <c r="C109" s="6" t="s">
        <v>385</v>
      </c>
      <c r="D109" s="2" t="s">
        <v>1746</v>
      </c>
      <c r="F109" s="9">
        <f t="shared" ref="F109:J109" si="17">F106*1.1</f>
        <v>0.14300000000000002</v>
      </c>
      <c r="G109" s="9">
        <f t="shared" si="17"/>
        <v>0.14300000000000002</v>
      </c>
      <c r="H109" s="9">
        <f t="shared" si="17"/>
        <v>0.14300000000000002</v>
      </c>
      <c r="I109" s="9">
        <f t="shared" si="17"/>
        <v>0.14300000000000002</v>
      </c>
      <c r="J109" s="9">
        <f t="shared" si="17"/>
        <v>0.14300000000000002</v>
      </c>
      <c r="K109" s="9">
        <f t="shared" ref="K109" si="18">K106*1.1</f>
        <v>0.14300000000000002</v>
      </c>
    </row>
    <row r="110" spans="1:13" hidden="1" outlineLevel="1">
      <c r="A110" s="43" t="str">
        <f ca="1">OFFSET(Язык!$A$67,0,LANGUAGE)</f>
        <v>иностранная валюта</v>
      </c>
      <c r="B110" s="41"/>
      <c r="C110" s="41" t="s">
        <v>385</v>
      </c>
      <c r="D110" s="43" t="s">
        <v>1746</v>
      </c>
      <c r="E110" s="43"/>
      <c r="F110" s="169">
        <v>0.15</v>
      </c>
      <c r="G110" s="169">
        <f t="shared" ref="G110:K110" si="19">F110</f>
        <v>0.15</v>
      </c>
      <c r="H110" s="169">
        <f t="shared" si="19"/>
        <v>0.15</v>
      </c>
      <c r="I110" s="169">
        <f t="shared" si="19"/>
        <v>0.15</v>
      </c>
      <c r="J110" s="169">
        <f t="shared" si="19"/>
        <v>0.15</v>
      </c>
      <c r="K110" s="169">
        <f t="shared" si="19"/>
        <v>0.15</v>
      </c>
      <c r="L110" s="43"/>
      <c r="M110" s="43"/>
    </row>
    <row r="111" spans="1:13" hidden="1" outlineLevel="1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" hidden="1" outlineLevel="1" thickBot="1"/>
    <row r="113" spans="1:13" ht="15.95" customHeight="1" thickTop="1" thickBot="1">
      <c r="A113" s="18" t="str">
        <f ca="1">OFFSET(Язык!$A$72,0,LANGUAGE)</f>
        <v>ПЛАН РЕАЛИЗАЦИИ</v>
      </c>
      <c r="B113" s="19"/>
      <c r="C113" s="19"/>
      <c r="D113" s="18">
        <v>2</v>
      </c>
      <c r="E113" s="18"/>
      <c r="F113" s="19" t="str">
        <f t="shared" ref="F113:K113" si="20">PeriodTitle</f>
        <v>"0"</v>
      </c>
      <c r="G113" s="19">
        <f t="shared" si="20"/>
        <v>2013</v>
      </c>
      <c r="H113" s="19">
        <f t="shared" si="20"/>
        <v>2014</v>
      </c>
      <c r="I113" s="19">
        <f t="shared" si="20"/>
        <v>2015</v>
      </c>
      <c r="J113" s="19">
        <f t="shared" si="20"/>
        <v>2016</v>
      </c>
      <c r="K113" s="19">
        <f t="shared" si="20"/>
        <v>2017</v>
      </c>
      <c r="L113" s="19"/>
      <c r="M113" s="23" t="str">
        <f ca="1">OFFSET(Язык!$A$77,0,LANGUAGE)</f>
        <v>ИТОГО</v>
      </c>
    </row>
    <row r="114" spans="1:13" ht="12" outlineLevel="1" thickTop="1">
      <c r="A114" s="141"/>
      <c r="B114" s="142" t="str">
        <f ca="1">OFFSET(Язык!$A$74,0,LANGUAGE)</f>
        <v xml:space="preserve">    Номинальный объем</v>
      </c>
      <c r="C114" s="90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13" outlineLevel="1">
      <c r="A115" s="242" t="s">
        <v>2393</v>
      </c>
      <c r="B115" s="229">
        <v>58500</v>
      </c>
      <c r="C115" s="243" t="s">
        <v>2395</v>
      </c>
      <c r="D115" s="11" t="s">
        <v>1746</v>
      </c>
      <c r="E115" s="11"/>
      <c r="F115" s="143"/>
      <c r="G115" s="144">
        <v>0.5</v>
      </c>
      <c r="H115" s="144">
        <v>1</v>
      </c>
      <c r="I115" s="144">
        <v>1</v>
      </c>
      <c r="J115" s="144">
        <f t="shared" ref="J115:K116" si="21">I115</f>
        <v>1</v>
      </c>
      <c r="K115" s="144">
        <f t="shared" si="21"/>
        <v>1</v>
      </c>
      <c r="L115" s="11"/>
      <c r="M115" s="11"/>
    </row>
    <row r="116" spans="1:13" outlineLevel="1">
      <c r="A116" s="242" t="s">
        <v>2394</v>
      </c>
      <c r="B116" s="229">
        <v>58500</v>
      </c>
      <c r="C116" s="243" t="s">
        <v>2395</v>
      </c>
      <c r="D116" s="11" t="s">
        <v>1746</v>
      </c>
      <c r="E116" s="11"/>
      <c r="F116" s="143"/>
      <c r="G116" s="144">
        <v>0.5</v>
      </c>
      <c r="H116" s="144">
        <v>1</v>
      </c>
      <c r="I116" s="144">
        <v>1</v>
      </c>
      <c r="J116" s="144">
        <f t="shared" si="21"/>
        <v>1</v>
      </c>
      <c r="K116" s="144">
        <f t="shared" si="21"/>
        <v>1</v>
      </c>
      <c r="L116" s="11"/>
      <c r="M116" s="11"/>
    </row>
    <row r="117" spans="1:13" outlineLevel="1">
      <c r="A117" s="11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s="37" customFormat="1" outlineLevel="1">
      <c r="A118" s="153" t="str">
        <f ca="1">OFFSET(Язык!$A$73,0,LANGUAGE)</f>
        <v>Средний коэффициент загрузки производства</v>
      </c>
      <c r="B118" s="154"/>
      <c r="C118" s="154"/>
      <c r="D118" s="153" t="s">
        <v>1746</v>
      </c>
      <c r="E118" s="153"/>
      <c r="F118" s="153"/>
      <c r="G118" s="155">
        <f ca="1">IF(SUM($B115:OFFSET($B117,-1,0))&gt;0,SUM(G123:G125)/SUM($B115:OFFSET($B117,-1,0)),1)</f>
        <v>0.5</v>
      </c>
      <c r="H118" s="155">
        <f ca="1">IF(SUM($B115:OFFSET($B117,-1,0))&gt;0,SUM(H123:H125)/SUM($B115:OFFSET($B117,-1,0)),1)</f>
        <v>1</v>
      </c>
      <c r="I118" s="155">
        <f ca="1">IF(SUM($B115:OFFSET($B117,-1,0))&gt;0,SUM(I123:I125)/SUM($B115:OFFSET($B117,-1,0)),1)</f>
        <v>1</v>
      </c>
      <c r="J118" s="155">
        <f ca="1">IF(SUM($B115:OFFSET($B117,-1,0))&gt;0,SUM(J123:J125)/SUM($B115:OFFSET($B117,-1,0)),1)</f>
        <v>1</v>
      </c>
      <c r="K118" s="155">
        <f ca="1">IF(SUM($B115:OFFSET($B117,-1,0))&gt;0,SUM(K123:K125)/SUM($B115:OFFSET($B117,-1,0)),1)</f>
        <v>1</v>
      </c>
      <c r="L118" s="153"/>
      <c r="M118" s="153"/>
    </row>
    <row r="119" spans="1:13" s="37" customFormat="1" outlineLevel="1">
      <c r="A119" s="13"/>
      <c r="B119" s="49"/>
      <c r="C119" s="49"/>
      <c r="D119" s="13"/>
      <c r="E119" s="13"/>
      <c r="F119" s="13"/>
      <c r="G119" s="238"/>
      <c r="H119" s="238"/>
      <c r="I119" s="238"/>
      <c r="J119" s="238"/>
      <c r="K119" s="238"/>
      <c r="L119" s="13"/>
      <c r="M119" s="13"/>
    </row>
    <row r="120" spans="1:13" ht="12" outlineLevel="1" thickBot="1"/>
    <row r="121" spans="1:13" ht="15.95" customHeight="1" thickTop="1" thickBot="1">
      <c r="A121" s="18" t="str">
        <f ca="1">OFFSET(Язык!$A$75,0,LANGUAGE)</f>
        <v>ОБЪЕМЫ РЕАЛИЗАЦИИ (в единицах)</v>
      </c>
      <c r="B121" s="19"/>
      <c r="C121" s="19"/>
      <c r="D121" s="18"/>
      <c r="E121" s="18"/>
      <c r="F121" s="19" t="str">
        <f t="shared" ref="F121:K121" si="22">PeriodTitle</f>
        <v>"0"</v>
      </c>
      <c r="G121" s="19">
        <f t="shared" si="22"/>
        <v>2013</v>
      </c>
      <c r="H121" s="19">
        <f t="shared" si="22"/>
        <v>2014</v>
      </c>
      <c r="I121" s="19">
        <f t="shared" si="22"/>
        <v>2015</v>
      </c>
      <c r="J121" s="19">
        <f t="shared" si="22"/>
        <v>2016</v>
      </c>
      <c r="K121" s="19">
        <f t="shared" si="22"/>
        <v>2017</v>
      </c>
      <c r="L121" s="19"/>
      <c r="M121" s="23" t="str">
        <f ca="1">OFFSET(Язык!$A$77,0,LANGUAGE)</f>
        <v>ИТОГО</v>
      </c>
    </row>
    <row r="122" spans="1:13" ht="12" outlineLevel="1" thickTop="1">
      <c r="A122" s="141"/>
      <c r="B122" s="90"/>
      <c r="C122" s="90"/>
      <c r="D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spans="1:13" outlineLevel="1">
      <c r="A123" s="11" t="str">
        <f>A115</f>
        <v>Услуга-чек без спиртного</v>
      </c>
      <c r="B123" s="12"/>
      <c r="C123" s="12" t="str">
        <f>C115</f>
        <v>ед</v>
      </c>
      <c r="D123" s="11"/>
      <c r="E123" s="11"/>
      <c r="F123" s="145"/>
      <c r="G123" s="230">
        <f t="shared" ref="G123:J123" si="23">$B115*G115</f>
        <v>29250</v>
      </c>
      <c r="H123" s="230">
        <f t="shared" si="23"/>
        <v>58500</v>
      </c>
      <c r="I123" s="230">
        <f t="shared" si="23"/>
        <v>58500</v>
      </c>
      <c r="J123" s="230">
        <f t="shared" si="23"/>
        <v>58500</v>
      </c>
      <c r="K123" s="230">
        <f t="shared" ref="K123" si="24">$B115*K115</f>
        <v>58500</v>
      </c>
      <c r="L123" s="231"/>
      <c r="M123" s="232">
        <f>SUM(G123:L123)</f>
        <v>263250</v>
      </c>
    </row>
    <row r="124" spans="1:13" outlineLevel="1">
      <c r="A124" s="11" t="str">
        <f>A116</f>
        <v>Услуга-чек со спиртным</v>
      </c>
      <c r="B124" s="12"/>
      <c r="C124" s="12" t="str">
        <f>C116</f>
        <v>ед</v>
      </c>
      <c r="D124" s="11"/>
      <c r="E124" s="11"/>
      <c r="F124" s="145"/>
      <c r="G124" s="230">
        <f t="shared" ref="G124:J124" si="25">$B116*G116</f>
        <v>29250</v>
      </c>
      <c r="H124" s="230">
        <f t="shared" si="25"/>
        <v>58500</v>
      </c>
      <c r="I124" s="230">
        <f t="shared" si="25"/>
        <v>58500</v>
      </c>
      <c r="J124" s="230">
        <f t="shared" si="25"/>
        <v>58500</v>
      </c>
      <c r="K124" s="230">
        <f t="shared" ref="K124" si="26">$B116*K116</f>
        <v>58500</v>
      </c>
      <c r="L124" s="231"/>
      <c r="M124" s="232">
        <f>SUM(G124:L124)</f>
        <v>263250</v>
      </c>
    </row>
    <row r="125" spans="1:13" outlineLevel="1">
      <c r="A125" s="43"/>
      <c r="B125" s="41"/>
      <c r="C125" s="41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outlineLevel="1">
      <c r="A126" s="11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" outlineLevel="1" thickBot="1"/>
    <row r="128" spans="1:13" ht="15.95" customHeight="1" thickTop="1" thickBot="1">
      <c r="A128" s="18" t="str">
        <f ca="1">OFFSET(Язык!$A$76,0,LANGUAGE)</f>
        <v>ЦЕНА РЕАЛИЗАЦИИ (за единицу, с НДС)</v>
      </c>
      <c r="B128" s="23"/>
      <c r="C128" s="23"/>
      <c r="D128" s="18"/>
      <c r="E128" s="18"/>
      <c r="F128" s="19" t="str">
        <f t="shared" ref="F128:K128" si="27">PeriodTitle</f>
        <v>"0"</v>
      </c>
      <c r="G128" s="19">
        <f t="shared" si="27"/>
        <v>2013</v>
      </c>
      <c r="H128" s="19">
        <f t="shared" si="27"/>
        <v>2014</v>
      </c>
      <c r="I128" s="19">
        <f t="shared" si="27"/>
        <v>2015</v>
      </c>
      <c r="J128" s="19">
        <f t="shared" si="27"/>
        <v>2016</v>
      </c>
      <c r="K128" s="19">
        <f t="shared" si="27"/>
        <v>2017</v>
      </c>
      <c r="L128" s="19"/>
      <c r="M128" s="21"/>
    </row>
    <row r="129" spans="1:13" ht="12" outlineLevel="1" thickTop="1">
      <c r="A129" s="141"/>
      <c r="B129" s="90" t="str">
        <f ca="1">OFFSET(Язык!$A$78,0,LANGUAGE)</f>
        <v>Валюта</v>
      </c>
      <c r="C129" s="90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1:13" outlineLevel="1" collapsed="1">
      <c r="A130" s="11" t="str">
        <f>A115</f>
        <v>Услуга-чек без спиртного</v>
      </c>
      <c r="B130" s="7">
        <v>1</v>
      </c>
      <c r="C130" s="147" t="str">
        <f ca="1">CHOOSE(B130,CUR_Main,CUR_Foreign) &amp; " / " &amp; C115</f>
        <v>$ / ед</v>
      </c>
      <c r="D130" s="11" t="s">
        <v>1746</v>
      </c>
      <c r="E130" s="11"/>
      <c r="F130" s="228">
        <v>37</v>
      </c>
      <c r="G130" s="228">
        <v>37</v>
      </c>
      <c r="H130" s="228">
        <f t="shared" ref="H130:K130" si="28">G130*CHOOSE($B130,H$94,H$104)</f>
        <v>40.700000000000003</v>
      </c>
      <c r="I130" s="228">
        <f t="shared" si="28"/>
        <v>44.77000000000001</v>
      </c>
      <c r="J130" s="228">
        <f t="shared" si="28"/>
        <v>49.247000000000014</v>
      </c>
      <c r="K130" s="228">
        <f t="shared" si="28"/>
        <v>54.171700000000023</v>
      </c>
      <c r="L130" s="11"/>
      <c r="M130" s="146"/>
    </row>
    <row r="131" spans="1:13" hidden="1" outlineLevel="2">
      <c r="A131" s="2" t="str">
        <f ca="1">OFFSET(Язык!$A$79,0,LANGUAGE)</f>
        <v xml:space="preserve">    цена без НДС и акцизов</v>
      </c>
      <c r="B131" s="105" t="str">
        <f ca="1">OFFSET(Язык!$A$83,0,LANGUAGE)</f>
        <v>Адвалорные</v>
      </c>
      <c r="C131" s="105" t="str">
        <f ca="1">OFFSET(Язык!$A$84,0,LANGUAGE)</f>
        <v>Твердые</v>
      </c>
      <c r="D131" s="2" t="s">
        <v>1746</v>
      </c>
      <c r="F131" s="25"/>
      <c r="G131" s="239">
        <f t="shared" ref="G131:J131" si="29">(G130/(1+$B134)-$C132)/(1+$B132)</f>
        <v>33.035714285714285</v>
      </c>
      <c r="H131" s="239">
        <f t="shared" si="29"/>
        <v>36.339285714285715</v>
      </c>
      <c r="I131" s="239">
        <f t="shared" si="29"/>
        <v>39.973214285714292</v>
      </c>
      <c r="J131" s="239">
        <f t="shared" si="29"/>
        <v>43.970535714285724</v>
      </c>
      <c r="K131" s="239">
        <f t="shared" ref="K131" si="30">(K130/(1+$B134)-$C132)/(1+$B132)</f>
        <v>48.367589285714303</v>
      </c>
      <c r="M131" s="22"/>
    </row>
    <row r="132" spans="1:13" hidden="1" outlineLevel="2">
      <c r="A132" s="2" t="str">
        <f ca="1">OFFSET(Язык!$A$80,0,LANGUAGE)</f>
        <v xml:space="preserve">    акцизы</v>
      </c>
      <c r="B132" s="106">
        <v>0</v>
      </c>
      <c r="C132" s="107">
        <v>0</v>
      </c>
      <c r="D132" s="2" t="s">
        <v>1746</v>
      </c>
      <c r="F132" s="25"/>
      <c r="G132" s="239">
        <f t="shared" ref="G132:J132" si="31">G131*$B132+$C132</f>
        <v>0</v>
      </c>
      <c r="H132" s="239">
        <f t="shared" si="31"/>
        <v>0</v>
      </c>
      <c r="I132" s="239">
        <f t="shared" si="31"/>
        <v>0</v>
      </c>
      <c r="J132" s="239">
        <f t="shared" si="31"/>
        <v>0</v>
      </c>
      <c r="K132" s="239">
        <f t="shared" ref="K132" si="32">K131*$B132+$C132</f>
        <v>0</v>
      </c>
      <c r="M132" s="22"/>
    </row>
    <row r="133" spans="1:13" hidden="1" outlineLevel="2">
      <c r="A133" s="2" t="str">
        <f ca="1">OFFSET(Язык!$A$81,0,LANGUAGE)</f>
        <v xml:space="preserve">    налог с продаж</v>
      </c>
      <c r="B133" s="24">
        <v>0</v>
      </c>
      <c r="C133" s="34"/>
      <c r="D133" s="2" t="s">
        <v>1746</v>
      </c>
      <c r="F133" s="25"/>
      <c r="G133" s="239">
        <f t="shared" ref="G133:J133" si="33">(G131+G132)*$B133</f>
        <v>0</v>
      </c>
      <c r="H133" s="239">
        <f t="shared" si="33"/>
        <v>0</v>
      </c>
      <c r="I133" s="239">
        <f t="shared" si="33"/>
        <v>0</v>
      </c>
      <c r="J133" s="239">
        <f t="shared" si="33"/>
        <v>0</v>
      </c>
      <c r="K133" s="239">
        <f t="shared" ref="K133" si="34">(K131+K132)*$B133</f>
        <v>0</v>
      </c>
      <c r="M133" s="22"/>
    </row>
    <row r="134" spans="1:13" hidden="1" outlineLevel="2">
      <c r="A134" s="2" t="str">
        <f ca="1">OFFSET(Язык!$A$82,0,LANGUAGE)</f>
        <v xml:space="preserve">    НДС</v>
      </c>
      <c r="B134" s="24">
        <f>VAT</f>
        <v>0.12</v>
      </c>
      <c r="C134" s="28"/>
      <c r="D134" s="2" t="s">
        <v>1746</v>
      </c>
      <c r="F134" s="25"/>
      <c r="G134" s="239">
        <f t="shared" ref="G134:J134" si="35">(G131+G132)*$B134</f>
        <v>3.964285714285714</v>
      </c>
      <c r="H134" s="239">
        <f t="shared" si="35"/>
        <v>4.3607142857142858</v>
      </c>
      <c r="I134" s="239">
        <f t="shared" si="35"/>
        <v>4.7967857142857149</v>
      </c>
      <c r="J134" s="239">
        <f t="shared" si="35"/>
        <v>5.2764642857142867</v>
      </c>
      <c r="K134" s="239">
        <f t="shared" ref="K134" si="36">(K131+K132)*$B134</f>
        <v>5.8041107142857165</v>
      </c>
      <c r="M134" s="22"/>
    </row>
    <row r="135" spans="1:13" outlineLevel="1" collapsed="1">
      <c r="A135" s="11" t="str">
        <f>A116</f>
        <v>Услуга-чек со спиртным</v>
      </c>
      <c r="B135" s="7">
        <v>1</v>
      </c>
      <c r="C135" s="147" t="str">
        <f ca="1">CHOOSE(B135,CUR_Main,CUR_Foreign) &amp; " / " &amp; C116</f>
        <v>$ / ед</v>
      </c>
      <c r="D135" s="11" t="s">
        <v>1746</v>
      </c>
      <c r="E135" s="11"/>
      <c r="F135" s="228">
        <v>50</v>
      </c>
      <c r="G135" s="228">
        <v>50</v>
      </c>
      <c r="H135" s="228">
        <f t="shared" ref="H135:K135" si="37">G135*CHOOSE($B135,H$94,H$104)</f>
        <v>55.000000000000007</v>
      </c>
      <c r="I135" s="228">
        <f t="shared" si="37"/>
        <v>60.500000000000014</v>
      </c>
      <c r="J135" s="228">
        <f t="shared" si="37"/>
        <v>66.550000000000026</v>
      </c>
      <c r="K135" s="228">
        <f t="shared" si="37"/>
        <v>73.205000000000041</v>
      </c>
      <c r="L135" s="11"/>
      <c r="M135" s="146"/>
    </row>
    <row r="136" spans="1:13" hidden="1" outlineLevel="2">
      <c r="A136" s="2" t="str">
        <f ca="1">OFFSET(Язык!$A$79,0,LANGUAGE)</f>
        <v xml:space="preserve">    цена без НДС и акцизов</v>
      </c>
      <c r="B136" s="105" t="str">
        <f ca="1">OFFSET(Язык!$A$83,0,LANGUAGE)</f>
        <v>Адвалорные</v>
      </c>
      <c r="C136" s="105" t="str">
        <f ca="1">OFFSET(Язык!$A$84,0,LANGUAGE)</f>
        <v>Твердые</v>
      </c>
      <c r="D136" s="2" t="s">
        <v>1746</v>
      </c>
      <c r="F136" s="25"/>
      <c r="G136" s="239">
        <f t="shared" ref="G136:J136" si="38">(G135/(1+$B139)-$C137)/(1+$B137)</f>
        <v>44.642857142857139</v>
      </c>
      <c r="H136" s="239">
        <f t="shared" si="38"/>
        <v>49.107142857142861</v>
      </c>
      <c r="I136" s="239">
        <f t="shared" si="38"/>
        <v>54.017857142857153</v>
      </c>
      <c r="J136" s="239">
        <f t="shared" si="38"/>
        <v>59.419642857142875</v>
      </c>
      <c r="K136" s="239">
        <f t="shared" ref="K136" si="39">(K135/(1+$B139)-$C137)/(1+$B137)</f>
        <v>65.361607142857167</v>
      </c>
      <c r="M136" s="22"/>
    </row>
    <row r="137" spans="1:13" hidden="1" outlineLevel="2">
      <c r="A137" s="2" t="str">
        <f ca="1">OFFSET(Язык!$A$80,0,LANGUAGE)</f>
        <v xml:space="preserve">    акцизы</v>
      </c>
      <c r="B137" s="106">
        <v>0</v>
      </c>
      <c r="C137" s="107">
        <v>0</v>
      </c>
      <c r="D137" s="2" t="s">
        <v>1746</v>
      </c>
      <c r="F137" s="25"/>
      <c r="G137" s="239">
        <f t="shared" ref="G137:J137" si="40">G136*$B137+$C137</f>
        <v>0</v>
      </c>
      <c r="H137" s="239">
        <f t="shared" si="40"/>
        <v>0</v>
      </c>
      <c r="I137" s="239">
        <f t="shared" si="40"/>
        <v>0</v>
      </c>
      <c r="J137" s="239">
        <f t="shared" si="40"/>
        <v>0</v>
      </c>
      <c r="K137" s="239">
        <f t="shared" ref="K137" si="41">K136*$B137+$C137</f>
        <v>0</v>
      </c>
      <c r="M137" s="22"/>
    </row>
    <row r="138" spans="1:13" hidden="1" outlineLevel="2">
      <c r="A138" s="2" t="str">
        <f ca="1">OFFSET(Язык!$A$81,0,LANGUAGE)</f>
        <v xml:space="preserve">    налог с продаж</v>
      </c>
      <c r="B138" s="24">
        <v>0</v>
      </c>
      <c r="C138" s="34"/>
      <c r="D138" s="2" t="s">
        <v>1746</v>
      </c>
      <c r="F138" s="25"/>
      <c r="G138" s="239">
        <f t="shared" ref="G138:J138" si="42">(G136+G137)*$B138</f>
        <v>0</v>
      </c>
      <c r="H138" s="239">
        <f t="shared" si="42"/>
        <v>0</v>
      </c>
      <c r="I138" s="239">
        <f t="shared" si="42"/>
        <v>0</v>
      </c>
      <c r="J138" s="239">
        <f t="shared" si="42"/>
        <v>0</v>
      </c>
      <c r="K138" s="239">
        <f t="shared" ref="K138" si="43">(K136+K137)*$B138</f>
        <v>0</v>
      </c>
      <c r="M138" s="22"/>
    </row>
    <row r="139" spans="1:13" hidden="1" outlineLevel="2">
      <c r="A139" s="2" t="str">
        <f ca="1">OFFSET(Язык!$A$82,0,LANGUAGE)</f>
        <v xml:space="preserve">    НДС</v>
      </c>
      <c r="B139" s="24">
        <f>VAT</f>
        <v>0.12</v>
      </c>
      <c r="C139" s="28"/>
      <c r="D139" s="2" t="s">
        <v>1746</v>
      </c>
      <c r="F139" s="25"/>
      <c r="G139" s="239">
        <f t="shared" ref="G139:J139" si="44">(G136+G137)*$B139</f>
        <v>5.3571428571428568</v>
      </c>
      <c r="H139" s="239">
        <f t="shared" si="44"/>
        <v>5.8928571428571432</v>
      </c>
      <c r="I139" s="239">
        <f t="shared" si="44"/>
        <v>6.4821428571428585</v>
      </c>
      <c r="J139" s="239">
        <f t="shared" si="44"/>
        <v>7.1303571428571448</v>
      </c>
      <c r="K139" s="239">
        <f t="shared" ref="K139" si="45">(K136+K137)*$B139</f>
        <v>7.8433928571428595</v>
      </c>
      <c r="M139" s="22"/>
    </row>
    <row r="140" spans="1:13" outlineLevel="1">
      <c r="A140" s="43"/>
      <c r="B140" s="41"/>
      <c r="C140" s="41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outlineLevel="1">
      <c r="A141" s="11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" outlineLevel="1" thickBot="1"/>
    <row r="143" spans="1:13" ht="15.95" customHeight="1" thickTop="1" thickBot="1">
      <c r="A143" s="18" t="str">
        <f ca="1">OFFSET(Язык!$A$85,0,LANGUAGE)</f>
        <v>ДОХОДЫ ОТ ПРОДАЖ</v>
      </c>
      <c r="B143" s="19"/>
      <c r="C143" s="19"/>
      <c r="D143" s="18"/>
      <c r="E143" s="18"/>
      <c r="F143" s="19" t="str">
        <f t="shared" ref="F143:K143" si="46">PeriodTitle</f>
        <v>"0"</v>
      </c>
      <c r="G143" s="19">
        <f t="shared" si="46"/>
        <v>2013</v>
      </c>
      <c r="H143" s="19">
        <f t="shared" si="46"/>
        <v>2014</v>
      </c>
      <c r="I143" s="19">
        <f t="shared" si="46"/>
        <v>2015</v>
      </c>
      <c r="J143" s="19">
        <f t="shared" si="46"/>
        <v>2016</v>
      </c>
      <c r="K143" s="19">
        <f t="shared" si="46"/>
        <v>2017</v>
      </c>
      <c r="L143" s="19"/>
      <c r="M143" s="23" t="str">
        <f ca="1">OFFSET(Язык!$A$77,0,LANGUAGE)</f>
        <v>ИТОГО</v>
      </c>
    </row>
    <row r="144" spans="1:13" ht="12" outlineLevel="1" thickTop="1">
      <c r="A144" s="141"/>
      <c r="B144" s="90"/>
      <c r="C144" s="90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1:13" outlineLevel="1" collapsed="1">
      <c r="A145" s="45" t="str">
        <f>A115</f>
        <v>Услуга-чек без спиртного</v>
      </c>
      <c r="B145" s="12"/>
      <c r="C145" s="12" t="str">
        <f ca="1">CHOOSE(B130,CUR_Main,CUR_Foreign)</f>
        <v>$</v>
      </c>
      <c r="D145" s="11" t="str">
        <f>TEXT(B130,"0")&amp;"_01"</f>
        <v>1_01</v>
      </c>
      <c r="E145" s="11"/>
      <c r="F145" s="145"/>
      <c r="G145" s="149">
        <f t="shared" ref="G145:J145" ca="1" si="47">G152+G153</f>
        <v>1082250</v>
      </c>
      <c r="H145" s="149">
        <f t="shared" ca="1" si="47"/>
        <v>2380950.0000000005</v>
      </c>
      <c r="I145" s="149">
        <f t="shared" ca="1" si="47"/>
        <v>2619045</v>
      </c>
      <c r="J145" s="149">
        <f t="shared" ca="1" si="47"/>
        <v>2880949.5000000009</v>
      </c>
      <c r="K145" s="149">
        <f t="shared" ref="K145" ca="1" si="48">K152+K153</f>
        <v>3169044.4500000011</v>
      </c>
      <c r="L145" s="46"/>
      <c r="M145" s="150">
        <f ca="1">SUM(G145:L145)</f>
        <v>12132238.950000001</v>
      </c>
    </row>
    <row r="146" spans="1:13" ht="11.25" hidden="1" customHeight="1" outlineLevel="2">
      <c r="A146" s="2" t="str">
        <f ca="1">OFFSET(Язык!$A$86,0,LANGUAGE)</f>
        <v xml:space="preserve">    к оплате от покупателей (без НДС)</v>
      </c>
      <c r="B146" s="2"/>
      <c r="C146" s="6" t="str">
        <f ca="1">CHOOSE(B130,CUR_Main,CUR_Foreign)</f>
        <v>$</v>
      </c>
      <c r="D146" s="2" t="str">
        <f>TEXT(B130,"0")&amp;"_02"</f>
        <v>1_02</v>
      </c>
      <c r="F146" s="26"/>
      <c r="G146" s="26">
        <f t="shared" ref="G146:J146" si="49">G123*(G131+G132)</f>
        <v>966294.64285714284</v>
      </c>
      <c r="H146" s="26">
        <f t="shared" si="49"/>
        <v>2125848.2142857146</v>
      </c>
      <c r="I146" s="26">
        <f t="shared" si="49"/>
        <v>2338433.0357142859</v>
      </c>
      <c r="J146" s="26">
        <f t="shared" si="49"/>
        <v>2572276.339285715</v>
      </c>
      <c r="K146" s="26">
        <f t="shared" ref="K146" si="50">K123*(K131+K132)</f>
        <v>2829503.9732142868</v>
      </c>
      <c r="M146" s="30">
        <f>SUM(G146:L146)</f>
        <v>10832356.205357146</v>
      </c>
    </row>
    <row r="147" spans="1:13" ht="11.25" hidden="1" customHeight="1" outlineLevel="2">
      <c r="A147" s="2" t="str">
        <f ca="1">OFFSET(Язык!$A$87,0,LANGUAGE)</f>
        <v xml:space="preserve">    в т.ч. акцизов, налогов и пошлин</v>
      </c>
      <c r="B147" s="2"/>
      <c r="C147" s="6" t="str">
        <f ca="1">CHOOSE(B130,CUR_Main,CUR_Foreign)</f>
        <v>$</v>
      </c>
      <c r="D147" s="2" t="str">
        <f>TEXT(B130,"0")&amp;"_03"</f>
        <v>1_03</v>
      </c>
      <c r="G147" s="26">
        <f t="shared" ref="G147:J147" si="51">G123*(G132+G133)</f>
        <v>0</v>
      </c>
      <c r="H147" s="26">
        <f t="shared" si="51"/>
        <v>0</v>
      </c>
      <c r="I147" s="26">
        <f t="shared" si="51"/>
        <v>0</v>
      </c>
      <c r="J147" s="26">
        <f t="shared" si="51"/>
        <v>0</v>
      </c>
      <c r="K147" s="26">
        <f t="shared" ref="K147" si="52">K123*(K132+K133)</f>
        <v>0</v>
      </c>
      <c r="M147" s="30">
        <f>SUM(G147:L147)</f>
        <v>0</v>
      </c>
    </row>
    <row r="148" spans="1:13" ht="11.25" hidden="1" customHeight="1" outlineLevel="2">
      <c r="A148" s="37" t="str">
        <f ca="1">OFFSET(Язык!$A$88,0,LANGUAGE)</f>
        <v xml:space="preserve">    поступления денег от продаж:</v>
      </c>
      <c r="B148" s="49" t="str">
        <f ca="1">OFFSET(Язык!$A$99,0,LANGUAGE)</f>
        <v>доля</v>
      </c>
      <c r="C148" s="49" t="str">
        <f ca="1">OFFSET(Язык!$A$100,0,LANGUAGE)</f>
        <v>срок</v>
      </c>
      <c r="G148" s="26"/>
      <c r="H148" s="26"/>
      <c r="I148" s="26"/>
      <c r="J148" s="26"/>
      <c r="K148" s="26"/>
      <c r="M148" s="30"/>
    </row>
    <row r="149" spans="1:13" ht="11.25" hidden="1" customHeight="1" outlineLevel="2">
      <c r="A149" s="2" t="str">
        <f ca="1">OFFSET(Язык!$A$89,0,LANGUAGE)</f>
        <v xml:space="preserve">    немедленная оплата (без НДС)</v>
      </c>
      <c r="B149" s="97">
        <f>1-B150-B151</f>
        <v>1</v>
      </c>
      <c r="C149" s="12" t="s">
        <v>2042</v>
      </c>
      <c r="D149" s="2" t="str">
        <f>TEXT(B130,"0")&amp;"_04"</f>
        <v>1_04</v>
      </c>
      <c r="G149" s="26">
        <f t="shared" ref="G149:J149" si="53">G146*$B149</f>
        <v>966294.64285714284</v>
      </c>
      <c r="H149" s="26">
        <f t="shared" si="53"/>
        <v>2125848.2142857146</v>
      </c>
      <c r="I149" s="26">
        <f t="shared" si="53"/>
        <v>2338433.0357142859</v>
      </c>
      <c r="J149" s="26">
        <f t="shared" si="53"/>
        <v>2572276.339285715</v>
      </c>
      <c r="K149" s="26">
        <f t="shared" ref="K149" si="54">K146*$B149</f>
        <v>2829503.9732142868</v>
      </c>
      <c r="M149" s="30">
        <f>SUM(G149:L149)</f>
        <v>10832356.205357146</v>
      </c>
    </row>
    <row r="150" spans="1:13" ht="11.25" hidden="1" customHeight="1" outlineLevel="2">
      <c r="A150" s="2" t="str">
        <f ca="1">OFFSET(Язык!$A$90,0,LANGUAGE)</f>
        <v xml:space="preserve">    поступления авансов (без НДС)</v>
      </c>
      <c r="B150" s="98">
        <f>NWC_T_Db_AdvK</f>
        <v>0</v>
      </c>
      <c r="C150" s="99">
        <f>NWC_T_Db_AdvT</f>
        <v>0</v>
      </c>
      <c r="D150" s="2" t="str">
        <f>TEXT(B130,"0")&amp;"_05"</f>
        <v>1_05</v>
      </c>
      <c r="E150" s="2">
        <f>INT(C150/PRJ_Step)</f>
        <v>0</v>
      </c>
      <c r="F150" s="26">
        <f t="shared" ref="F150:J150" ca="1" si="55">IF((F$27+$E150)&lt;=PRJ_Len,OFFSET(F146,0,$E150)*$B150,0)</f>
        <v>0</v>
      </c>
      <c r="G150" s="26">
        <f t="shared" ca="1" si="55"/>
        <v>0</v>
      </c>
      <c r="H150" s="26">
        <f t="shared" ca="1" si="55"/>
        <v>0</v>
      </c>
      <c r="I150" s="26">
        <f t="shared" ca="1" si="55"/>
        <v>0</v>
      </c>
      <c r="J150" s="26">
        <f t="shared" ca="1" si="55"/>
        <v>0</v>
      </c>
      <c r="K150" s="26">
        <f t="shared" ref="K150" ca="1" si="56">IF((K$27+$E150)&lt;=PRJ_Len,OFFSET(K146,0,$E150)*$B150,0)</f>
        <v>0</v>
      </c>
      <c r="M150" s="30">
        <f ca="1">SUM(G150:L150)</f>
        <v>0</v>
      </c>
    </row>
    <row r="151" spans="1:13" ht="11.25" hidden="1" customHeight="1" outlineLevel="2">
      <c r="A151" s="2" t="str">
        <f ca="1">OFFSET(Язык!$A$91,0,LANGUAGE)</f>
        <v xml:space="preserve">    поступления от продаж в кредит (без НДС)</v>
      </c>
      <c r="B151" s="98">
        <f>NWC_T_Db_CrdK</f>
        <v>0</v>
      </c>
      <c r="C151" s="99">
        <f>NWC_T_Db_CrdT</f>
        <v>0</v>
      </c>
      <c r="D151" s="2" t="str">
        <f>TEXT(B130,"0")&amp;"_06"</f>
        <v>1_06</v>
      </c>
      <c r="E151" s="2">
        <f>INT(C151/PRJ_Step)</f>
        <v>0</v>
      </c>
      <c r="F151" s="26">
        <f t="shared" ref="F151:J151" ca="1" si="57">IF((F$27-$E151)&gt;=1,OFFSET(F146,0,-$E151)*$B151,0)</f>
        <v>0</v>
      </c>
      <c r="G151" s="26">
        <f t="shared" ca="1" si="57"/>
        <v>0</v>
      </c>
      <c r="H151" s="26">
        <f t="shared" ca="1" si="57"/>
        <v>0</v>
      </c>
      <c r="I151" s="26">
        <f t="shared" ca="1" si="57"/>
        <v>0</v>
      </c>
      <c r="J151" s="26">
        <f t="shared" ca="1" si="57"/>
        <v>0</v>
      </c>
      <c r="K151" s="26">
        <f t="shared" ref="K151" ca="1" si="58">IF((K$27-$E151)&gt;=1,OFFSET(K146,0,-$E151)*$B151,0)</f>
        <v>0</v>
      </c>
      <c r="M151" s="30">
        <f ca="1">SUM(G151:L151)</f>
        <v>0</v>
      </c>
    </row>
    <row r="152" spans="1:13" ht="11.25" hidden="1" customHeight="1" outlineLevel="2">
      <c r="A152" s="2" t="str">
        <f ca="1">OFFSET(Язык!$A$92,0,LANGUAGE)</f>
        <v xml:space="preserve">    суммарные поступления (без НДС)</v>
      </c>
      <c r="C152" s="6" t="str">
        <f ca="1">CHOOSE(B130,CUR_Main,CUR_Foreign)</f>
        <v>$</v>
      </c>
      <c r="D152" s="2" t="str">
        <f>TEXT(B130,"0")&amp;"_07"</f>
        <v>1_07</v>
      </c>
      <c r="F152" s="26">
        <f t="shared" ref="F152:J152" ca="1" si="59">SUM(F149:F151)</f>
        <v>0</v>
      </c>
      <c r="G152" s="26">
        <f t="shared" ca="1" si="59"/>
        <v>966294.64285714284</v>
      </c>
      <c r="H152" s="26">
        <f t="shared" ca="1" si="59"/>
        <v>2125848.2142857146</v>
      </c>
      <c r="I152" s="26">
        <f t="shared" ca="1" si="59"/>
        <v>2338433.0357142859</v>
      </c>
      <c r="J152" s="26">
        <f t="shared" ca="1" si="59"/>
        <v>2572276.339285715</v>
      </c>
      <c r="K152" s="26">
        <f t="shared" ref="K152" ca="1" si="60">SUM(K149:K151)</f>
        <v>2829503.9732142868</v>
      </c>
      <c r="M152" s="30">
        <f ca="1">SUM(G152:L152)</f>
        <v>10832356.205357146</v>
      </c>
    </row>
    <row r="153" spans="1:13" ht="11.25" hidden="1" customHeight="1" outlineLevel="2">
      <c r="A153" s="2" t="str">
        <f ca="1">OFFSET(Язык!$A$93,0,LANGUAGE)</f>
        <v xml:space="preserve">    получено НДС</v>
      </c>
      <c r="B153" s="2"/>
      <c r="C153" s="6" t="str">
        <f ca="1">CHOOSE(B130,CUR_Main,CUR_Foreign)</f>
        <v>$</v>
      </c>
      <c r="D153" s="2" t="str">
        <f>TEXT(B130,"0")&amp;"_08"</f>
        <v>1_08</v>
      </c>
      <c r="F153" s="26">
        <f t="shared" ref="F153:J153" ca="1" si="61">F152*$B134</f>
        <v>0</v>
      </c>
      <c r="G153" s="26">
        <f t="shared" ca="1" si="61"/>
        <v>115955.35714285713</v>
      </c>
      <c r="H153" s="26">
        <f t="shared" ca="1" si="61"/>
        <v>255101.78571428574</v>
      </c>
      <c r="I153" s="26">
        <f t="shared" ca="1" si="61"/>
        <v>280611.96428571432</v>
      </c>
      <c r="J153" s="26">
        <f t="shared" ca="1" si="61"/>
        <v>308673.1607142858</v>
      </c>
      <c r="K153" s="26">
        <f t="shared" ref="K153" ca="1" si="62">K152*$B134</f>
        <v>339540.47678571439</v>
      </c>
      <c r="M153" s="30">
        <f ca="1">SUM(G153:L153)</f>
        <v>1299882.7446428575</v>
      </c>
    </row>
    <row r="154" spans="1:13" ht="11.25" hidden="1" customHeight="1" outlineLevel="2">
      <c r="A154" s="2" t="str">
        <f ca="1">OFFSET(Язык!$A$94,0,LANGUAGE)</f>
        <v xml:space="preserve">    авансы в обороте в течение периода</v>
      </c>
      <c r="C154" s="6" t="str">
        <f ca="1">CHOOSE(B130,CUR_Main,CUR_Foreign)</f>
        <v>$</v>
      </c>
      <c r="D154" s="2" t="str">
        <f>TEXT(B130,"0")&amp;"_09"&amp;";int_end"</f>
        <v>1_09;int_end</v>
      </c>
      <c r="E154" s="2">
        <f>C150-E150*PRJ_Step</f>
        <v>0</v>
      </c>
      <c r="F154" s="26">
        <f t="shared" ref="F154:J154" si="63">F146*$B150*$E154/PRJ_Step</f>
        <v>0</v>
      </c>
      <c r="G154" s="26">
        <f t="shared" si="63"/>
        <v>0</v>
      </c>
      <c r="H154" s="26">
        <f t="shared" si="63"/>
        <v>0</v>
      </c>
      <c r="I154" s="26">
        <f t="shared" si="63"/>
        <v>0</v>
      </c>
      <c r="J154" s="26">
        <f t="shared" si="63"/>
        <v>0</v>
      </c>
      <c r="K154" s="26">
        <f t="shared" ref="K154" si="64">K146*$B150*$E154/PRJ_Step</f>
        <v>0</v>
      </c>
      <c r="L154" s="26"/>
      <c r="M154" s="26"/>
    </row>
    <row r="155" spans="1:13" ht="11.25" hidden="1" customHeight="1" outlineLevel="2">
      <c r="A155" s="2" t="str">
        <f ca="1">OFFSET(Язык!$A$95,0,LANGUAGE)</f>
        <v xml:space="preserve">    авансы, переходящие в следующий период</v>
      </c>
      <c r="C155" s="6" t="str">
        <f ca="1">CHOOSE(B130,CUR_Main,CUR_Foreign)</f>
        <v>$</v>
      </c>
      <c r="D155" s="2" t="str">
        <f>TEXT(B130,"0")&amp;"_10"&amp;";int_end"</f>
        <v>1_10;int_end</v>
      </c>
      <c r="F155" s="26">
        <f t="shared" ref="F155:K155" ca="1" si="65">E155+F150-F146*$B150</f>
        <v>0</v>
      </c>
      <c r="G155" s="26">
        <f t="shared" ca="1" si="65"/>
        <v>0</v>
      </c>
      <c r="H155" s="26">
        <f t="shared" ca="1" si="65"/>
        <v>0</v>
      </c>
      <c r="I155" s="26">
        <f t="shared" ca="1" si="65"/>
        <v>0</v>
      </c>
      <c r="J155" s="26">
        <f t="shared" ca="1" si="65"/>
        <v>0</v>
      </c>
      <c r="K155" s="26">
        <f t="shared" ca="1" si="65"/>
        <v>0</v>
      </c>
      <c r="L155" s="26"/>
      <c r="M155" s="26"/>
    </row>
    <row r="156" spans="1:13" ht="11.25" hidden="1" customHeight="1" outlineLevel="2">
      <c r="A156" s="2" t="str">
        <f ca="1">OFFSET(Язык!$A$96,0,LANGUAGE)</f>
        <v xml:space="preserve">    дебиторская задолж.  в обороте в течение периода</v>
      </c>
      <c r="C156" s="6" t="str">
        <f ca="1">CHOOSE(B130,CUR_Main,CUR_Foreign)</f>
        <v>$</v>
      </c>
      <c r="D156" s="2" t="str">
        <f>TEXT(B130,"0")&amp;"_11"&amp;";int_end"</f>
        <v>1_11;int_end</v>
      </c>
      <c r="E156" s="2">
        <f>C151-E151*PRJ_Step</f>
        <v>0</v>
      </c>
      <c r="F156" s="26">
        <f t="shared" ref="F156:J156" si="66">F146*$B151*$E156/PRJ_Step</f>
        <v>0</v>
      </c>
      <c r="G156" s="26">
        <f t="shared" si="66"/>
        <v>0</v>
      </c>
      <c r="H156" s="26">
        <f t="shared" si="66"/>
        <v>0</v>
      </c>
      <c r="I156" s="26">
        <f t="shared" si="66"/>
        <v>0</v>
      </c>
      <c r="J156" s="26">
        <f t="shared" si="66"/>
        <v>0</v>
      </c>
      <c r="K156" s="26">
        <f t="shared" ref="K156" si="67">K146*$B151*$E156/PRJ_Step</f>
        <v>0</v>
      </c>
      <c r="L156" s="26"/>
      <c r="M156" s="26"/>
    </row>
    <row r="157" spans="1:13" ht="11.25" hidden="1" customHeight="1" outlineLevel="2">
      <c r="A157" s="2" t="str">
        <f ca="1">OFFSET(Язык!$A$97,0,LANGUAGE)</f>
        <v xml:space="preserve">    дебиторская задолж., переходящая в след. период</v>
      </c>
      <c r="C157" s="6" t="str">
        <f ca="1">CHOOSE(B130,CUR_Main,CUR_Foreign)</f>
        <v>$</v>
      </c>
      <c r="D157" s="2" t="str">
        <f>TEXT(B130,"0")&amp;"_12"&amp;";int_end"</f>
        <v>1_12;int_end</v>
      </c>
      <c r="F157" s="26">
        <f t="shared" ref="F157:K157" ca="1" si="68">E157+F146*$B151-F151</f>
        <v>0</v>
      </c>
      <c r="G157" s="26">
        <f t="shared" ca="1" si="68"/>
        <v>0</v>
      </c>
      <c r="H157" s="26">
        <f t="shared" ca="1" si="68"/>
        <v>0</v>
      </c>
      <c r="I157" s="26">
        <f t="shared" ca="1" si="68"/>
        <v>0</v>
      </c>
      <c r="J157" s="26">
        <f t="shared" ca="1" si="68"/>
        <v>0</v>
      </c>
      <c r="K157" s="26">
        <f t="shared" ca="1" si="68"/>
        <v>0</v>
      </c>
      <c r="L157" s="26"/>
      <c r="M157" s="26"/>
    </row>
    <row r="158" spans="1:13" outlineLevel="1" collapsed="1">
      <c r="A158" s="45" t="str">
        <f>A116</f>
        <v>Услуга-чек со спиртным</v>
      </c>
      <c r="B158" s="12"/>
      <c r="C158" s="12" t="str">
        <f ca="1">CHOOSE(B135,CUR_Main,CUR_Foreign)</f>
        <v>$</v>
      </c>
      <c r="D158" s="11" t="str">
        <f>TEXT(B135,"0")&amp;"_01"</f>
        <v>1_01</v>
      </c>
      <c r="E158" s="11"/>
      <c r="F158" s="145"/>
      <c r="G158" s="149">
        <f t="shared" ref="G158:J158" ca="1" si="69">G165+G166</f>
        <v>1462500</v>
      </c>
      <c r="H158" s="149">
        <f t="shared" ca="1" si="69"/>
        <v>3217500</v>
      </c>
      <c r="I158" s="149">
        <f t="shared" ca="1" si="69"/>
        <v>3539250.0000000009</v>
      </c>
      <c r="J158" s="149">
        <f t="shared" ca="1" si="69"/>
        <v>3893175.0000000009</v>
      </c>
      <c r="K158" s="149">
        <f t="shared" ref="K158" ca="1" si="70">K165+K166</f>
        <v>4282492.5000000019</v>
      </c>
      <c r="L158" s="46"/>
      <c r="M158" s="150">
        <f ca="1">SUM(G158:L158)</f>
        <v>16394917.500000004</v>
      </c>
    </row>
    <row r="159" spans="1:13" ht="11.25" hidden="1" customHeight="1" outlineLevel="2">
      <c r="A159" s="2" t="str">
        <f ca="1">OFFSET(Язык!$A$86,0,LANGUAGE)</f>
        <v xml:space="preserve">    к оплате от покупателей (без НДС)</v>
      </c>
      <c r="B159" s="2"/>
      <c r="C159" s="6" t="str">
        <f ca="1">CHOOSE(B135,CUR_Main,CUR_Foreign)</f>
        <v>$</v>
      </c>
      <c r="D159" s="2" t="str">
        <f>TEXT(B135,"0")&amp;"_02"</f>
        <v>1_02</v>
      </c>
      <c r="F159" s="26"/>
      <c r="G159" s="26">
        <f t="shared" ref="G159:J159" si="71">G124*(G136+G137)</f>
        <v>1305803.5714285714</v>
      </c>
      <c r="H159" s="26">
        <f t="shared" si="71"/>
        <v>2872767.8571428573</v>
      </c>
      <c r="I159" s="26">
        <f t="shared" si="71"/>
        <v>3160044.6428571437</v>
      </c>
      <c r="J159" s="26">
        <f t="shared" si="71"/>
        <v>3476049.1071428582</v>
      </c>
      <c r="K159" s="26">
        <f t="shared" ref="K159" si="72">K124*(K136+K137)</f>
        <v>3823654.0178571441</v>
      </c>
      <c r="M159" s="30">
        <f>SUM(G159:L159)</f>
        <v>14638319.196428575</v>
      </c>
    </row>
    <row r="160" spans="1:13" ht="11.25" hidden="1" customHeight="1" outlineLevel="2">
      <c r="A160" s="2" t="str">
        <f ca="1">OFFSET(Язык!$A$87,0,LANGUAGE)</f>
        <v xml:space="preserve">    в т.ч. акцизов, налогов и пошлин</v>
      </c>
      <c r="B160" s="2"/>
      <c r="C160" s="6" t="str">
        <f ca="1">CHOOSE(B135,CUR_Main,CUR_Foreign)</f>
        <v>$</v>
      </c>
      <c r="D160" s="2" t="str">
        <f>TEXT(B135,"0")&amp;"_03"</f>
        <v>1_03</v>
      </c>
      <c r="G160" s="26">
        <f t="shared" ref="G160:J160" si="73">G124*(G137+G138)</f>
        <v>0</v>
      </c>
      <c r="H160" s="26">
        <f t="shared" si="73"/>
        <v>0</v>
      </c>
      <c r="I160" s="26">
        <f t="shared" si="73"/>
        <v>0</v>
      </c>
      <c r="J160" s="26">
        <f t="shared" si="73"/>
        <v>0</v>
      </c>
      <c r="K160" s="26">
        <f t="shared" ref="K160" si="74">K124*(K137+K138)</f>
        <v>0</v>
      </c>
      <c r="M160" s="30">
        <f>SUM(G160:L160)</f>
        <v>0</v>
      </c>
    </row>
    <row r="161" spans="1:13" ht="11.25" hidden="1" customHeight="1" outlineLevel="2">
      <c r="A161" s="37" t="str">
        <f ca="1">OFFSET(Язык!$A$88,0,LANGUAGE)</f>
        <v xml:space="preserve">    поступления денег от продаж:</v>
      </c>
      <c r="B161" s="49" t="str">
        <f ca="1">OFFSET(Язык!$A$99,0,LANGUAGE)</f>
        <v>доля</v>
      </c>
      <c r="C161" s="49" t="str">
        <f ca="1">OFFSET(Язык!$A$100,0,LANGUAGE)</f>
        <v>срок</v>
      </c>
      <c r="G161" s="26"/>
      <c r="H161" s="26"/>
      <c r="I161" s="26"/>
      <c r="J161" s="26"/>
      <c r="K161" s="26"/>
      <c r="M161" s="30"/>
    </row>
    <row r="162" spans="1:13" ht="11.25" hidden="1" customHeight="1" outlineLevel="2">
      <c r="A162" s="2" t="str">
        <f ca="1">OFFSET(Язык!$A$89,0,LANGUAGE)</f>
        <v xml:space="preserve">    немедленная оплата (без НДС)</v>
      </c>
      <c r="B162" s="97">
        <f>1-B163-B164</f>
        <v>1</v>
      </c>
      <c r="C162" s="12" t="s">
        <v>2042</v>
      </c>
      <c r="D162" s="2" t="str">
        <f>TEXT(B135,"0")&amp;"_04"</f>
        <v>1_04</v>
      </c>
      <c r="G162" s="26">
        <f t="shared" ref="G162:J162" si="75">G159*$B162</f>
        <v>1305803.5714285714</v>
      </c>
      <c r="H162" s="26">
        <f t="shared" si="75"/>
        <v>2872767.8571428573</v>
      </c>
      <c r="I162" s="26">
        <f t="shared" si="75"/>
        <v>3160044.6428571437</v>
      </c>
      <c r="J162" s="26">
        <f t="shared" si="75"/>
        <v>3476049.1071428582</v>
      </c>
      <c r="K162" s="26">
        <f t="shared" ref="K162" si="76">K159*$B162</f>
        <v>3823654.0178571441</v>
      </c>
      <c r="M162" s="30">
        <f>SUM(G162:L162)</f>
        <v>14638319.196428575</v>
      </c>
    </row>
    <row r="163" spans="1:13" ht="11.25" hidden="1" customHeight="1" outlineLevel="2">
      <c r="A163" s="2" t="str">
        <f ca="1">OFFSET(Язык!$A$90,0,LANGUAGE)</f>
        <v xml:space="preserve">    поступления авансов (без НДС)</v>
      </c>
      <c r="B163" s="98">
        <f>NWC_T_Db_AdvK</f>
        <v>0</v>
      </c>
      <c r="C163" s="99">
        <f>NWC_T_Db_AdvT</f>
        <v>0</v>
      </c>
      <c r="D163" s="2" t="str">
        <f>TEXT(B135,"0")&amp;"_05"</f>
        <v>1_05</v>
      </c>
      <c r="E163" s="2">
        <f>INT(C163/PRJ_Step)</f>
        <v>0</v>
      </c>
      <c r="F163" s="26">
        <f t="shared" ref="F163:J163" ca="1" si="77">IF((F$27+$E163)&lt;=PRJ_Len,OFFSET(F159,0,$E163)*$B163,0)</f>
        <v>0</v>
      </c>
      <c r="G163" s="26">
        <f t="shared" ca="1" si="77"/>
        <v>0</v>
      </c>
      <c r="H163" s="26">
        <f t="shared" ca="1" si="77"/>
        <v>0</v>
      </c>
      <c r="I163" s="26">
        <f t="shared" ca="1" si="77"/>
        <v>0</v>
      </c>
      <c r="J163" s="26">
        <f t="shared" ca="1" si="77"/>
        <v>0</v>
      </c>
      <c r="K163" s="26">
        <f t="shared" ref="K163" ca="1" si="78">IF((K$27+$E163)&lt;=PRJ_Len,OFFSET(K159,0,$E163)*$B163,0)</f>
        <v>0</v>
      </c>
      <c r="M163" s="30">
        <f ca="1">SUM(G163:L163)</f>
        <v>0</v>
      </c>
    </row>
    <row r="164" spans="1:13" ht="11.25" hidden="1" customHeight="1" outlineLevel="2">
      <c r="A164" s="2" t="str">
        <f ca="1">OFFSET(Язык!$A$91,0,LANGUAGE)</f>
        <v xml:space="preserve">    поступления от продаж в кредит (без НДС)</v>
      </c>
      <c r="B164" s="98">
        <f>NWC_T_Db_CrdK</f>
        <v>0</v>
      </c>
      <c r="C164" s="99">
        <f>NWC_T_Db_CrdT</f>
        <v>0</v>
      </c>
      <c r="D164" s="2" t="str">
        <f>TEXT(B135,"0")&amp;"_06"</f>
        <v>1_06</v>
      </c>
      <c r="E164" s="2">
        <f>INT(C164/PRJ_Step)</f>
        <v>0</v>
      </c>
      <c r="F164" s="26">
        <f t="shared" ref="F164:J164" ca="1" si="79">IF((F$27-$E164)&gt;=1,OFFSET(F159,0,-$E164)*$B164,0)</f>
        <v>0</v>
      </c>
      <c r="G164" s="26">
        <f t="shared" ca="1" si="79"/>
        <v>0</v>
      </c>
      <c r="H164" s="26">
        <f t="shared" ca="1" si="79"/>
        <v>0</v>
      </c>
      <c r="I164" s="26">
        <f t="shared" ca="1" si="79"/>
        <v>0</v>
      </c>
      <c r="J164" s="26">
        <f t="shared" ca="1" si="79"/>
        <v>0</v>
      </c>
      <c r="K164" s="26">
        <f t="shared" ref="K164" ca="1" si="80">IF((K$27-$E164)&gt;=1,OFFSET(K159,0,-$E164)*$B164,0)</f>
        <v>0</v>
      </c>
      <c r="M164" s="30">
        <f ca="1">SUM(G164:L164)</f>
        <v>0</v>
      </c>
    </row>
    <row r="165" spans="1:13" ht="11.25" hidden="1" customHeight="1" outlineLevel="2">
      <c r="A165" s="2" t="str">
        <f ca="1">OFFSET(Язык!$A$92,0,LANGUAGE)</f>
        <v xml:space="preserve">    суммарные поступления (без НДС)</v>
      </c>
      <c r="C165" s="6" t="str">
        <f ca="1">CHOOSE(B135,CUR_Main,CUR_Foreign)</f>
        <v>$</v>
      </c>
      <c r="D165" s="2" t="str">
        <f>TEXT(B135,"0")&amp;"_07"</f>
        <v>1_07</v>
      </c>
      <c r="F165" s="26">
        <f t="shared" ref="F165:J165" ca="1" si="81">SUM(F162:F164)</f>
        <v>0</v>
      </c>
      <c r="G165" s="26">
        <f t="shared" ca="1" si="81"/>
        <v>1305803.5714285714</v>
      </c>
      <c r="H165" s="26">
        <f t="shared" ca="1" si="81"/>
        <v>2872767.8571428573</v>
      </c>
      <c r="I165" s="26">
        <f t="shared" ca="1" si="81"/>
        <v>3160044.6428571437</v>
      </c>
      <c r="J165" s="26">
        <f t="shared" ca="1" si="81"/>
        <v>3476049.1071428582</v>
      </c>
      <c r="K165" s="26">
        <f t="shared" ref="K165" ca="1" si="82">SUM(K162:K164)</f>
        <v>3823654.0178571441</v>
      </c>
      <c r="M165" s="30">
        <f ca="1">SUM(G165:L165)</f>
        <v>14638319.196428575</v>
      </c>
    </row>
    <row r="166" spans="1:13" ht="11.25" hidden="1" customHeight="1" outlineLevel="2">
      <c r="A166" s="2" t="str">
        <f ca="1">OFFSET(Язык!$A$93,0,LANGUAGE)</f>
        <v xml:space="preserve">    получено НДС</v>
      </c>
      <c r="B166" s="2"/>
      <c r="C166" s="6" t="str">
        <f ca="1">CHOOSE(B135,CUR_Main,CUR_Foreign)</f>
        <v>$</v>
      </c>
      <c r="D166" s="2" t="str">
        <f>TEXT(B135,"0")&amp;"_08"</f>
        <v>1_08</v>
      </c>
      <c r="F166" s="26">
        <f t="shared" ref="F166:J166" ca="1" si="83">F165*$B139</f>
        <v>0</v>
      </c>
      <c r="G166" s="26">
        <f t="shared" ca="1" si="83"/>
        <v>156696.42857142855</v>
      </c>
      <c r="H166" s="26">
        <f t="shared" ca="1" si="83"/>
        <v>344732.14285714284</v>
      </c>
      <c r="I166" s="26">
        <f t="shared" ca="1" si="83"/>
        <v>379205.35714285722</v>
      </c>
      <c r="J166" s="26">
        <f t="shared" ca="1" si="83"/>
        <v>417125.89285714296</v>
      </c>
      <c r="K166" s="26">
        <f t="shared" ref="K166" ca="1" si="84">K165*$B139</f>
        <v>458838.48214285728</v>
      </c>
      <c r="M166" s="30">
        <f ca="1">SUM(G166:L166)</f>
        <v>1756598.3035714289</v>
      </c>
    </row>
    <row r="167" spans="1:13" ht="11.25" hidden="1" customHeight="1" outlineLevel="2">
      <c r="A167" s="2" t="str">
        <f ca="1">OFFSET(Язык!$A$94,0,LANGUAGE)</f>
        <v xml:space="preserve">    авансы в обороте в течение периода</v>
      </c>
      <c r="C167" s="6" t="str">
        <f ca="1">CHOOSE(B135,CUR_Main,CUR_Foreign)</f>
        <v>$</v>
      </c>
      <c r="D167" s="2" t="str">
        <f>TEXT(B135,"0")&amp;"_09"&amp;";int_end"</f>
        <v>1_09;int_end</v>
      </c>
      <c r="E167" s="2">
        <f>C163-E163*PRJ_Step</f>
        <v>0</v>
      </c>
      <c r="F167" s="26">
        <f t="shared" ref="F167:J167" si="85">F159*$B163*$E167/PRJ_Step</f>
        <v>0</v>
      </c>
      <c r="G167" s="26">
        <f t="shared" si="85"/>
        <v>0</v>
      </c>
      <c r="H167" s="26">
        <f t="shared" si="85"/>
        <v>0</v>
      </c>
      <c r="I167" s="26">
        <f t="shared" si="85"/>
        <v>0</v>
      </c>
      <c r="J167" s="26">
        <f t="shared" si="85"/>
        <v>0</v>
      </c>
      <c r="K167" s="26">
        <f t="shared" ref="K167" si="86">K159*$B163*$E167/PRJ_Step</f>
        <v>0</v>
      </c>
      <c r="L167" s="26"/>
      <c r="M167" s="26"/>
    </row>
    <row r="168" spans="1:13" ht="11.25" hidden="1" customHeight="1" outlineLevel="2">
      <c r="A168" s="2" t="str">
        <f ca="1">OFFSET(Язык!$A$95,0,LANGUAGE)</f>
        <v xml:space="preserve">    авансы, переходящие в следующий период</v>
      </c>
      <c r="C168" s="6" t="str">
        <f ca="1">CHOOSE(B135,CUR_Main,CUR_Foreign)</f>
        <v>$</v>
      </c>
      <c r="D168" s="2" t="str">
        <f>TEXT(B135,"0")&amp;"_10"&amp;";int_end"</f>
        <v>1_10;int_end</v>
      </c>
      <c r="F168" s="26">
        <f t="shared" ref="F168:K168" ca="1" si="87">E168+F163-F159*$B163</f>
        <v>0</v>
      </c>
      <c r="G168" s="26">
        <f t="shared" ca="1" si="87"/>
        <v>0</v>
      </c>
      <c r="H168" s="26">
        <f t="shared" ca="1" si="87"/>
        <v>0</v>
      </c>
      <c r="I168" s="26">
        <f t="shared" ca="1" si="87"/>
        <v>0</v>
      </c>
      <c r="J168" s="26">
        <f t="shared" ca="1" si="87"/>
        <v>0</v>
      </c>
      <c r="K168" s="26">
        <f t="shared" ca="1" si="87"/>
        <v>0</v>
      </c>
      <c r="L168" s="26"/>
      <c r="M168" s="26"/>
    </row>
    <row r="169" spans="1:13" ht="11.25" hidden="1" customHeight="1" outlineLevel="2">
      <c r="A169" s="2" t="str">
        <f ca="1">OFFSET(Язык!$A$96,0,LANGUAGE)</f>
        <v xml:space="preserve">    дебиторская задолж.  в обороте в течение периода</v>
      </c>
      <c r="C169" s="6" t="str">
        <f ca="1">CHOOSE(B135,CUR_Main,CUR_Foreign)</f>
        <v>$</v>
      </c>
      <c r="D169" s="2" t="str">
        <f>TEXT(B135,"0")&amp;"_11"&amp;";int_end"</f>
        <v>1_11;int_end</v>
      </c>
      <c r="E169" s="2">
        <f>C164-E164*PRJ_Step</f>
        <v>0</v>
      </c>
      <c r="F169" s="26">
        <f t="shared" ref="F169:J169" si="88">F159*$B164*$E169/PRJ_Step</f>
        <v>0</v>
      </c>
      <c r="G169" s="26">
        <f t="shared" si="88"/>
        <v>0</v>
      </c>
      <c r="H169" s="26">
        <f t="shared" si="88"/>
        <v>0</v>
      </c>
      <c r="I169" s="26">
        <f t="shared" si="88"/>
        <v>0</v>
      </c>
      <c r="J169" s="26">
        <f t="shared" si="88"/>
        <v>0</v>
      </c>
      <c r="K169" s="26">
        <f t="shared" ref="K169" si="89">K159*$B164*$E169/PRJ_Step</f>
        <v>0</v>
      </c>
      <c r="L169" s="26"/>
      <c r="M169" s="26"/>
    </row>
    <row r="170" spans="1:13" ht="11.25" hidden="1" customHeight="1" outlineLevel="2">
      <c r="A170" s="2" t="str">
        <f ca="1">OFFSET(Язык!$A$97,0,LANGUAGE)</f>
        <v xml:space="preserve">    дебиторская задолж., переходящая в след. период</v>
      </c>
      <c r="C170" s="6" t="str">
        <f ca="1">CHOOSE(B135,CUR_Main,CUR_Foreign)</f>
        <v>$</v>
      </c>
      <c r="D170" s="2" t="str">
        <f>TEXT(B135,"0")&amp;"_12"&amp;";int_end"</f>
        <v>1_12;int_end</v>
      </c>
      <c r="F170" s="26">
        <f t="shared" ref="F170:K170" ca="1" si="90">E170+F159*$B164-F164</f>
        <v>0</v>
      </c>
      <c r="G170" s="26">
        <f t="shared" ca="1" si="90"/>
        <v>0</v>
      </c>
      <c r="H170" s="26">
        <f t="shared" ca="1" si="90"/>
        <v>0</v>
      </c>
      <c r="I170" s="26">
        <f t="shared" ca="1" si="90"/>
        <v>0</v>
      </c>
      <c r="J170" s="26">
        <f t="shared" ca="1" si="90"/>
        <v>0</v>
      </c>
      <c r="K170" s="26">
        <f t="shared" ca="1" si="90"/>
        <v>0</v>
      </c>
      <c r="L170" s="26"/>
      <c r="M170" s="26"/>
    </row>
    <row r="171" spans="1:13" outlineLevel="1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outlineLevel="1" collapsed="1">
      <c r="A172" s="32" t="str">
        <f ca="1">OFFSET(Язык!$A$98,0,LANGUAGE)</f>
        <v xml:space="preserve"> = Итого</v>
      </c>
      <c r="C172" s="6" t="str">
        <f ca="1">CUR_Main</f>
        <v>$</v>
      </c>
      <c r="F172" s="26"/>
      <c r="G172" s="26">
        <f t="shared" ref="G172:J172" ca="1" si="91">SUMIF($D144:$D171,"*1_01*",G144:G171)+SUMIF($D144:$D171,"*2_01*",G144:G171)*G$98</f>
        <v>2544750</v>
      </c>
      <c r="H172" s="26">
        <f t="shared" ca="1" si="91"/>
        <v>5598450</v>
      </c>
      <c r="I172" s="26">
        <f t="shared" ca="1" si="91"/>
        <v>6158295.0000000009</v>
      </c>
      <c r="J172" s="26">
        <f t="shared" ca="1" si="91"/>
        <v>6774124.5000000019</v>
      </c>
      <c r="K172" s="26">
        <f t="shared" ref="K172" ca="1" si="92">SUMIF($D144:$D171,"*1_01*",K144:K171)+SUMIF($D144:$D171,"*2_01*",K144:K171)*K$98</f>
        <v>7451536.950000003</v>
      </c>
      <c r="L172" s="26"/>
      <c r="M172" s="27">
        <f ca="1">SUM(G172:L172)</f>
        <v>28527156.450000003</v>
      </c>
    </row>
    <row r="173" spans="1:13" ht="11.25" hidden="1" customHeight="1" outlineLevel="2">
      <c r="A173" s="2" t="str">
        <f ca="1">OFFSET(Язык!$A$86,0,LANGUAGE)</f>
        <v xml:space="preserve">    к оплате от покупателей (без НДС)</v>
      </c>
      <c r="C173" s="6" t="str">
        <f ca="1">CUR_Main</f>
        <v>$</v>
      </c>
      <c r="F173" s="26"/>
      <c r="G173" s="26">
        <f t="shared" ref="G173:J173" si="93">SUMIF($D144:$D171,"*1_02*",G144:G171)+SUMIF($D144:$D171,"*2_02*",G144:G171)*G$98</f>
        <v>2272098.2142857141</v>
      </c>
      <c r="H173" s="26">
        <f t="shared" si="93"/>
        <v>4998616.0714285718</v>
      </c>
      <c r="I173" s="26">
        <f t="shared" si="93"/>
        <v>5498477.6785714291</v>
      </c>
      <c r="J173" s="26">
        <f t="shared" si="93"/>
        <v>6048325.4464285728</v>
      </c>
      <c r="K173" s="26">
        <f t="shared" ref="K173" si="94">SUMIF($D144:$D171,"*1_02*",K144:K171)+SUMIF($D144:$D171,"*2_02*",K144:K171)*K$98</f>
        <v>6653157.991071431</v>
      </c>
      <c r="L173" s="26"/>
      <c r="M173" s="30">
        <f t="shared" ref="M173:M180" si="95">SUM(G173:L173)</f>
        <v>25470675.401785716</v>
      </c>
    </row>
    <row r="174" spans="1:13" ht="11.25" hidden="1" customHeight="1" outlineLevel="2">
      <c r="A174" s="2" t="str">
        <f ca="1">OFFSET(Язык!$A$87,0,LANGUAGE)</f>
        <v xml:space="preserve">    в т.ч. акцизов, налогов и пошлин</v>
      </c>
      <c r="C174" s="6" t="str">
        <f ca="1">CUR_Main</f>
        <v>$</v>
      </c>
      <c r="F174" s="26"/>
      <c r="G174" s="26">
        <f t="shared" ref="G174:J174" si="96">SUMIF($D144:$D171,"*1_03*",G144:G171)+SUMIF($D144:$D171,"*2_03*",G144:G171)*G$98</f>
        <v>0</v>
      </c>
      <c r="H174" s="26">
        <f t="shared" si="96"/>
        <v>0</v>
      </c>
      <c r="I174" s="26">
        <f t="shared" si="96"/>
        <v>0</v>
      </c>
      <c r="J174" s="26">
        <f t="shared" si="96"/>
        <v>0</v>
      </c>
      <c r="K174" s="26">
        <f t="shared" ref="K174" si="97">SUMIF($D144:$D171,"*1_03*",K144:K171)+SUMIF($D144:$D171,"*2_03*",K144:K171)*K$98</f>
        <v>0</v>
      </c>
      <c r="L174" s="26"/>
      <c r="M174" s="30">
        <f t="shared" si="95"/>
        <v>0</v>
      </c>
    </row>
    <row r="175" spans="1:13" ht="11.25" hidden="1" customHeight="1" outlineLevel="2">
      <c r="A175" s="37" t="str">
        <f ca="1">OFFSET(Язык!$A$88,0,LANGUAGE)</f>
        <v xml:space="preserve">    поступления денег от продаж:</v>
      </c>
      <c r="F175" s="26"/>
      <c r="G175" s="26"/>
      <c r="H175" s="26"/>
      <c r="I175" s="26"/>
      <c r="J175" s="26"/>
      <c r="K175" s="26"/>
      <c r="L175" s="26"/>
      <c r="M175" s="30"/>
    </row>
    <row r="176" spans="1:13" ht="11.25" hidden="1" customHeight="1" outlineLevel="2">
      <c r="A176" s="2" t="str">
        <f ca="1">OFFSET(Язык!$A$89,0,LANGUAGE)</f>
        <v xml:space="preserve">    немедленная оплата (без НДС)</v>
      </c>
      <c r="C176" s="6" t="str">
        <f t="shared" ref="C176:C184" ca="1" si="98">CUR_Main</f>
        <v>$</v>
      </c>
      <c r="F176" s="26"/>
      <c r="G176" s="26">
        <f t="shared" ref="G176:J176" si="99">SUMIF($D144:$D171,"*1_04*",G144:G171)+SUMIF($D144:$D171,"*2_04*",G144:G171)*G$98</f>
        <v>2272098.2142857141</v>
      </c>
      <c r="H176" s="26">
        <f t="shared" si="99"/>
        <v>4998616.0714285718</v>
      </c>
      <c r="I176" s="26">
        <f t="shared" si="99"/>
        <v>5498477.6785714291</v>
      </c>
      <c r="J176" s="26">
        <f t="shared" si="99"/>
        <v>6048325.4464285728</v>
      </c>
      <c r="K176" s="26">
        <f t="shared" ref="K176" si="100">SUMIF($D144:$D171,"*1_04*",K144:K171)+SUMIF($D144:$D171,"*2_04*",K144:K171)*K$98</f>
        <v>6653157.991071431</v>
      </c>
      <c r="L176" s="26"/>
      <c r="M176" s="30">
        <f t="shared" si="95"/>
        <v>25470675.401785716</v>
      </c>
    </row>
    <row r="177" spans="1:13" ht="11.25" hidden="1" customHeight="1" outlineLevel="2">
      <c r="A177" s="2" t="str">
        <f ca="1">OFFSET(Язык!$A$90,0,LANGUAGE)</f>
        <v xml:space="preserve">    поступления авансов (без НДС)</v>
      </c>
      <c r="C177" s="6" t="str">
        <f t="shared" ca="1" si="98"/>
        <v>$</v>
      </c>
      <c r="F177" s="26">
        <f t="shared" ref="F177:J177" ca="1" si="101">SUMIF($D144:$D171,"*1_05*",F144:F171)+SUMIF($D144:$D171,"*2_05*",F144:F171)*F$98</f>
        <v>0</v>
      </c>
      <c r="G177" s="26">
        <f t="shared" ca="1" si="101"/>
        <v>0</v>
      </c>
      <c r="H177" s="26">
        <f t="shared" ca="1" si="101"/>
        <v>0</v>
      </c>
      <c r="I177" s="26">
        <f t="shared" ca="1" si="101"/>
        <v>0</v>
      </c>
      <c r="J177" s="26">
        <f t="shared" ca="1" si="101"/>
        <v>0</v>
      </c>
      <c r="K177" s="26">
        <f t="shared" ref="K177" ca="1" si="102">SUMIF($D144:$D171,"*1_05*",K144:K171)+SUMIF($D144:$D171,"*2_05*",K144:K171)*K$98</f>
        <v>0</v>
      </c>
      <c r="L177" s="26"/>
      <c r="M177" s="30">
        <f t="shared" ca="1" si="95"/>
        <v>0</v>
      </c>
    </row>
    <row r="178" spans="1:13" ht="11.25" hidden="1" customHeight="1" outlineLevel="2">
      <c r="A178" s="2" t="str">
        <f ca="1">OFFSET(Язык!$A$91,0,LANGUAGE)</f>
        <v xml:space="preserve">    поступления от продаж в кредит (без НДС)</v>
      </c>
      <c r="C178" s="6" t="str">
        <f t="shared" ca="1" si="98"/>
        <v>$</v>
      </c>
      <c r="F178" s="26">
        <f t="shared" ref="F178:J178" ca="1" si="103">SUMIF($D144:$D171,"*1_06*",F144:F171)+SUMIF($D144:$D171,"*2_06*",F144:F171)*F$98</f>
        <v>0</v>
      </c>
      <c r="G178" s="26">
        <f t="shared" ca="1" si="103"/>
        <v>0</v>
      </c>
      <c r="H178" s="26">
        <f t="shared" ca="1" si="103"/>
        <v>0</v>
      </c>
      <c r="I178" s="26">
        <f t="shared" ca="1" si="103"/>
        <v>0</v>
      </c>
      <c r="J178" s="26">
        <f t="shared" ca="1" si="103"/>
        <v>0</v>
      </c>
      <c r="K178" s="26">
        <f t="shared" ref="K178" ca="1" si="104">SUMIF($D144:$D171,"*1_06*",K144:K171)+SUMIF($D144:$D171,"*2_06*",K144:K171)*K$98</f>
        <v>0</v>
      </c>
      <c r="L178" s="26"/>
      <c r="M178" s="30">
        <f t="shared" ca="1" si="95"/>
        <v>0</v>
      </c>
    </row>
    <row r="179" spans="1:13" ht="11.25" hidden="1" customHeight="1" outlineLevel="2">
      <c r="A179" s="2" t="str">
        <f ca="1">OFFSET(Язык!$A$92,0,LANGUAGE)</f>
        <v xml:space="preserve">    суммарные поступления (без НДС)</v>
      </c>
      <c r="C179" s="6" t="str">
        <f t="shared" ca="1" si="98"/>
        <v>$</v>
      </c>
      <c r="F179" s="26">
        <f t="shared" ref="F179:J179" ca="1" si="105">SUMIF($D144:$D171,"*1_07*",F144:F171)+SUMIF($D144:$D171,"*2_07*",F144:F171)*F$98</f>
        <v>0</v>
      </c>
      <c r="G179" s="26">
        <f t="shared" ca="1" si="105"/>
        <v>2272098.2142857141</v>
      </c>
      <c r="H179" s="26">
        <f t="shared" ca="1" si="105"/>
        <v>4998616.0714285718</v>
      </c>
      <c r="I179" s="26">
        <f t="shared" ca="1" si="105"/>
        <v>5498477.6785714291</v>
      </c>
      <c r="J179" s="26">
        <f t="shared" ca="1" si="105"/>
        <v>6048325.4464285728</v>
      </c>
      <c r="K179" s="26">
        <f t="shared" ref="K179" ca="1" si="106">SUMIF($D144:$D171,"*1_07*",K144:K171)+SUMIF($D144:$D171,"*2_07*",K144:K171)*K$98</f>
        <v>6653157.991071431</v>
      </c>
      <c r="L179" s="26"/>
      <c r="M179" s="30">
        <f t="shared" ca="1" si="95"/>
        <v>25470675.401785716</v>
      </c>
    </row>
    <row r="180" spans="1:13" ht="11.25" hidden="1" customHeight="1" outlineLevel="2">
      <c r="A180" s="2" t="str">
        <f ca="1">OFFSET(Язык!$A$93,0,LANGUAGE)</f>
        <v xml:space="preserve">    получено НДС</v>
      </c>
      <c r="C180" s="6" t="str">
        <f t="shared" ca="1" si="98"/>
        <v>$</v>
      </c>
      <c r="F180" s="26">
        <f t="shared" ref="F180:J180" ca="1" si="107">SUMIF($D144:$D171,"*1_08*",F144:F171)+SUMIF($D144:$D171,"*2_08*",F144:F171)*F$98</f>
        <v>0</v>
      </c>
      <c r="G180" s="26">
        <f t="shared" ca="1" si="107"/>
        <v>272651.78571428568</v>
      </c>
      <c r="H180" s="26">
        <f t="shared" ca="1" si="107"/>
        <v>599833.92857142864</v>
      </c>
      <c r="I180" s="26">
        <f t="shared" ca="1" si="107"/>
        <v>659817.32142857159</v>
      </c>
      <c r="J180" s="26">
        <f t="shared" ca="1" si="107"/>
        <v>725799.05357142875</v>
      </c>
      <c r="K180" s="26">
        <f t="shared" ref="K180" ca="1" si="108">SUMIF($D144:$D171,"*1_08*",K144:K171)+SUMIF($D144:$D171,"*2_08*",K144:K171)*K$98</f>
        <v>798378.95892857166</v>
      </c>
      <c r="L180" s="26"/>
      <c r="M180" s="30">
        <f t="shared" ca="1" si="95"/>
        <v>3056481.0482142861</v>
      </c>
    </row>
    <row r="181" spans="1:13" ht="11.25" hidden="1" customHeight="1" outlineLevel="2">
      <c r="A181" s="2" t="str">
        <f ca="1">OFFSET(Язык!$A$94,0,LANGUAGE)</f>
        <v xml:space="preserve">    авансы в обороте в течение периода</v>
      </c>
      <c r="C181" s="6" t="str">
        <f t="shared" ca="1" si="98"/>
        <v>$</v>
      </c>
      <c r="D181" s="2" t="s">
        <v>1736</v>
      </c>
      <c r="F181" s="26">
        <f t="shared" ref="F181:J181" si="109">SUMIF($D144:$D171,"*1_09*",F144:F171)+SUMIF($D144:$D171,"*2_09*",F144:F171)*F$98</f>
        <v>0</v>
      </c>
      <c r="G181" s="26">
        <f t="shared" si="109"/>
        <v>0</v>
      </c>
      <c r="H181" s="26">
        <f t="shared" si="109"/>
        <v>0</v>
      </c>
      <c r="I181" s="26">
        <f t="shared" si="109"/>
        <v>0</v>
      </c>
      <c r="J181" s="26">
        <f t="shared" si="109"/>
        <v>0</v>
      </c>
      <c r="K181" s="26">
        <f t="shared" ref="K181" si="110">SUMIF($D144:$D171,"*1_09*",K144:K171)+SUMIF($D144:$D171,"*2_09*",K144:K171)*K$98</f>
        <v>0</v>
      </c>
      <c r="L181" s="26"/>
      <c r="M181" s="30"/>
    </row>
    <row r="182" spans="1:13" ht="11.25" hidden="1" customHeight="1" outlineLevel="2">
      <c r="A182" s="2" t="str">
        <f ca="1">OFFSET(Язык!$A$95,0,LANGUAGE)</f>
        <v xml:space="preserve">    авансы, переходящие в следующий период</v>
      </c>
      <c r="C182" s="6" t="str">
        <f t="shared" ca="1" si="98"/>
        <v>$</v>
      </c>
      <c r="D182" s="2" t="s">
        <v>1736</v>
      </c>
      <c r="F182" s="26">
        <f t="shared" ref="F182:J182" ca="1" si="111">SUMIF($D144:$D171,"*1_10*",F144:F171)+SUMIF($D144:$D171,"*2_10*",F144:F171)*F$98</f>
        <v>0</v>
      </c>
      <c r="G182" s="26">
        <f t="shared" ca="1" si="111"/>
        <v>0</v>
      </c>
      <c r="H182" s="26">
        <f t="shared" ca="1" si="111"/>
        <v>0</v>
      </c>
      <c r="I182" s="26">
        <f t="shared" ca="1" si="111"/>
        <v>0</v>
      </c>
      <c r="J182" s="26">
        <f t="shared" ca="1" si="111"/>
        <v>0</v>
      </c>
      <c r="K182" s="26">
        <f t="shared" ref="K182" ca="1" si="112">SUMIF($D144:$D171,"*1_10*",K144:K171)+SUMIF($D144:$D171,"*2_10*",K144:K171)*K$98</f>
        <v>0</v>
      </c>
      <c r="L182" s="26"/>
      <c r="M182" s="30"/>
    </row>
    <row r="183" spans="1:13" ht="11.25" hidden="1" customHeight="1" outlineLevel="2">
      <c r="A183" s="2" t="str">
        <f ca="1">OFFSET(Язык!$A$96,0,LANGUAGE)</f>
        <v xml:space="preserve">    дебиторская задолж.  в обороте в течение периода</v>
      </c>
      <c r="C183" s="6" t="str">
        <f t="shared" ca="1" si="98"/>
        <v>$</v>
      </c>
      <c r="D183" s="2" t="s">
        <v>1736</v>
      </c>
      <c r="F183" s="26">
        <f t="shared" ref="F183:J183" si="113">SUMIF($D144:$D171,"*1_11*",F144:F171)+SUMIF($D144:$D171,"*2_11*",F144:F171)*F$98</f>
        <v>0</v>
      </c>
      <c r="G183" s="26">
        <f t="shared" si="113"/>
        <v>0</v>
      </c>
      <c r="H183" s="26">
        <f t="shared" si="113"/>
        <v>0</v>
      </c>
      <c r="I183" s="26">
        <f t="shared" si="113"/>
        <v>0</v>
      </c>
      <c r="J183" s="26">
        <f t="shared" si="113"/>
        <v>0</v>
      </c>
      <c r="K183" s="26">
        <f t="shared" ref="K183" si="114">SUMIF($D144:$D171,"*1_11*",K144:K171)+SUMIF($D144:$D171,"*2_11*",K144:K171)*K$98</f>
        <v>0</v>
      </c>
      <c r="L183" s="26"/>
      <c r="M183" s="30"/>
    </row>
    <row r="184" spans="1:13" ht="11.25" hidden="1" customHeight="1" outlineLevel="2">
      <c r="A184" s="2" t="str">
        <f ca="1">OFFSET(Язык!$A$97,0,LANGUAGE)</f>
        <v xml:space="preserve">    дебиторская задолж., переходящая в след. период</v>
      </c>
      <c r="C184" s="6" t="str">
        <f t="shared" ca="1" si="98"/>
        <v>$</v>
      </c>
      <c r="D184" s="2" t="s">
        <v>1736</v>
      </c>
      <c r="F184" s="26">
        <f t="shared" ref="F184:J184" ca="1" si="115">SUMIF($D144:$D171,"*1_12*",F144:F171)+SUMIF($D144:$D171,"*2_12*",F144:F171)*F$98</f>
        <v>0</v>
      </c>
      <c r="G184" s="26">
        <f t="shared" ca="1" si="115"/>
        <v>0</v>
      </c>
      <c r="H184" s="26">
        <f t="shared" ca="1" si="115"/>
        <v>0</v>
      </c>
      <c r="I184" s="26">
        <f t="shared" ca="1" si="115"/>
        <v>0</v>
      </c>
      <c r="J184" s="26">
        <f t="shared" ca="1" si="115"/>
        <v>0</v>
      </c>
      <c r="K184" s="26">
        <f t="shared" ref="K184" ca="1" si="116">SUMIF($D144:$D171,"*1_12*",K144:K171)+SUMIF($D144:$D171,"*2_12*",K144:K171)*K$98</f>
        <v>0</v>
      </c>
      <c r="L184" s="26"/>
      <c r="M184" s="30"/>
    </row>
    <row r="185" spans="1:13" outlineLevel="1">
      <c r="A185" s="68"/>
      <c r="B185" s="67"/>
      <c r="C185" s="67"/>
      <c r="D185" s="68"/>
      <c r="E185" s="68"/>
      <c r="F185" s="69"/>
      <c r="G185" s="69"/>
      <c r="H185" s="69"/>
      <c r="I185" s="69"/>
      <c r="J185" s="69"/>
      <c r="K185" s="69"/>
      <c r="L185" s="69"/>
      <c r="M185" s="69"/>
    </row>
    <row r="186" spans="1:13" ht="12" outlineLevel="1" thickBot="1"/>
    <row r="187" spans="1:13" ht="15.95" customHeight="1" thickTop="1" thickBot="1">
      <c r="A187" s="18" t="str">
        <f ca="1">OFFSET(Язык!$A$101,0,LANGUAGE)</f>
        <v>МАТЕРИАЛЫ И КОМПЛЕКТУЮЩИЕ (на ед. продукта, с НДС)</v>
      </c>
      <c r="B187" s="23"/>
      <c r="C187" s="19"/>
      <c r="D187" s="18"/>
      <c r="E187" s="18"/>
      <c r="F187" s="19" t="str">
        <f t="shared" ref="F187:K187" si="117">PeriodTitle</f>
        <v>"0"</v>
      </c>
      <c r="G187" s="19">
        <f t="shared" si="117"/>
        <v>2013</v>
      </c>
      <c r="H187" s="19">
        <f t="shared" si="117"/>
        <v>2014</v>
      </c>
      <c r="I187" s="19">
        <f t="shared" si="117"/>
        <v>2015</v>
      </c>
      <c r="J187" s="19">
        <f t="shared" si="117"/>
        <v>2016</v>
      </c>
      <c r="K187" s="19">
        <f t="shared" si="117"/>
        <v>2017</v>
      </c>
      <c r="L187" s="19"/>
      <c r="M187" s="23" t="str">
        <f ca="1">OFFSET(Язык!$A$77,0,LANGUAGE)</f>
        <v>ИТОГО</v>
      </c>
    </row>
    <row r="188" spans="1:13" ht="12" outlineLevel="1" thickTop="1">
      <c r="A188" s="141"/>
      <c r="B188" s="90" t="str">
        <f ca="1">OFFSET(Язык!$A$78,0,LANGUAGE)</f>
        <v>Валюта</v>
      </c>
      <c r="C188" s="90"/>
      <c r="D188" s="89"/>
      <c r="E188" s="89"/>
      <c r="F188" s="89"/>
      <c r="G188" s="89"/>
      <c r="H188" s="89"/>
      <c r="I188" s="89"/>
      <c r="J188" s="89"/>
      <c r="K188" s="89"/>
      <c r="L188" s="89"/>
      <c r="M188" s="89"/>
    </row>
    <row r="189" spans="1:13" outlineLevel="1">
      <c r="A189" s="11" t="str">
        <f>A115</f>
        <v>Услуга-чек без спиртного</v>
      </c>
      <c r="B189" s="7">
        <v>1</v>
      </c>
      <c r="C189" s="12" t="str">
        <f ca="1">CHOOSE(B189,CUR_Main,CUR_Foreign) &amp; " / " &amp; C115</f>
        <v>$ / ед</v>
      </c>
      <c r="D189" s="11" t="s">
        <v>1746</v>
      </c>
      <c r="E189" s="11"/>
      <c r="F189" s="228">
        <v>17</v>
      </c>
      <c r="G189" s="228">
        <v>20</v>
      </c>
      <c r="H189" s="228">
        <f t="shared" ref="H189:K190" si="118">G189*CHOOSE($B189,H$94,H$104)</f>
        <v>22</v>
      </c>
      <c r="I189" s="228">
        <f t="shared" si="118"/>
        <v>24.200000000000003</v>
      </c>
      <c r="J189" s="228">
        <f t="shared" si="118"/>
        <v>26.620000000000005</v>
      </c>
      <c r="K189" s="228">
        <f t="shared" si="118"/>
        <v>29.282000000000007</v>
      </c>
      <c r="L189" s="11"/>
      <c r="M189" s="146"/>
    </row>
    <row r="190" spans="1:13" outlineLevel="1">
      <c r="A190" s="11" t="str">
        <f>A116</f>
        <v>Услуга-чек со спиртным</v>
      </c>
      <c r="B190" s="7">
        <v>1</v>
      </c>
      <c r="C190" s="12" t="str">
        <f ca="1">CHOOSE(B190,CUR_Main,CUR_Foreign) &amp; " / " &amp; C116</f>
        <v>$ / ед</v>
      </c>
      <c r="D190" s="11" t="s">
        <v>1746</v>
      </c>
      <c r="E190" s="11"/>
      <c r="F190" s="228">
        <v>20</v>
      </c>
      <c r="G190" s="228">
        <v>30</v>
      </c>
      <c r="H190" s="228">
        <f t="shared" si="118"/>
        <v>33</v>
      </c>
      <c r="I190" s="228">
        <f t="shared" si="118"/>
        <v>36.300000000000004</v>
      </c>
      <c r="J190" s="228">
        <f t="shared" si="118"/>
        <v>39.930000000000007</v>
      </c>
      <c r="K190" s="228">
        <f t="shared" si="118"/>
        <v>43.923000000000009</v>
      </c>
      <c r="L190" s="11"/>
      <c r="M190" s="146"/>
    </row>
    <row r="191" spans="1:13" outlineLevel="1">
      <c r="A191" s="43"/>
      <c r="B191" s="41"/>
      <c r="C191" s="41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outlineLevel="1">
      <c r="A192" s="11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" outlineLevel="1" thickBot="1"/>
    <row r="194" spans="1:13" ht="15.95" customHeight="1" collapsed="1" thickTop="1" thickBot="1">
      <c r="A194" s="18"/>
      <c r="B194" s="23"/>
      <c r="C194" s="19"/>
      <c r="D194" s="18"/>
      <c r="E194" s="18"/>
      <c r="F194" s="19" t="str">
        <f t="shared" ref="F194:K194" si="119">PeriodTitle</f>
        <v>"0"</v>
      </c>
      <c r="G194" s="19">
        <f t="shared" si="119"/>
        <v>2013</v>
      </c>
      <c r="H194" s="19">
        <f t="shared" si="119"/>
        <v>2014</v>
      </c>
      <c r="I194" s="19">
        <f t="shared" si="119"/>
        <v>2015</v>
      </c>
      <c r="J194" s="19">
        <f t="shared" si="119"/>
        <v>2016</v>
      </c>
      <c r="K194" s="19">
        <f t="shared" si="119"/>
        <v>2017</v>
      </c>
      <c r="L194" s="19"/>
      <c r="M194" s="23" t="str">
        <f ca="1">OFFSET(Язык!$A$77,0,LANGUAGE)</f>
        <v>ИТОГО</v>
      </c>
    </row>
    <row r="195" spans="1:13" ht="12.75" hidden="1" outlineLevel="1" thickTop="1" thickBot="1">
      <c r="A195" s="141"/>
      <c r="B195" s="90"/>
      <c r="C195" s="90"/>
      <c r="D195" s="89"/>
      <c r="E195" s="89"/>
      <c r="F195" s="89"/>
      <c r="G195" s="89"/>
      <c r="H195" s="89"/>
      <c r="I195" s="89"/>
      <c r="J195" s="89"/>
      <c r="K195" s="89"/>
      <c r="L195" s="89"/>
      <c r="M195" s="89"/>
    </row>
    <row r="196" spans="1:13" ht="12.75" hidden="1" outlineLevel="1" thickTop="1" thickBot="1">
      <c r="A196" s="11" t="str">
        <f>A123</f>
        <v>Услуга-чек без спиртного</v>
      </c>
      <c r="B196" s="147"/>
      <c r="C196" s="12" t="str">
        <f ca="1">CHOOSE(B189,CUR_Main,CUR_Foreign) &amp; " / " &amp; C123</f>
        <v>$ / ед</v>
      </c>
      <c r="D196" s="11" t="s">
        <v>1746</v>
      </c>
      <c r="E196" s="11"/>
      <c r="F196" s="228">
        <v>0</v>
      </c>
      <c r="G196" s="228">
        <f t="shared" ref="G196:K197" si="120">F196*G$94</f>
        <v>0</v>
      </c>
      <c r="H196" s="228">
        <f t="shared" si="120"/>
        <v>0</v>
      </c>
      <c r="I196" s="228">
        <f t="shared" si="120"/>
        <v>0</v>
      </c>
      <c r="J196" s="228">
        <f t="shared" si="120"/>
        <v>0</v>
      </c>
      <c r="K196" s="228">
        <f t="shared" si="120"/>
        <v>0</v>
      </c>
      <c r="L196" s="11"/>
      <c r="M196" s="146"/>
    </row>
    <row r="197" spans="1:13" ht="12.75" hidden="1" outlineLevel="1" thickTop="1" thickBot="1">
      <c r="A197" s="11" t="str">
        <f>A124</f>
        <v>Услуга-чек со спиртным</v>
      </c>
      <c r="B197" s="147"/>
      <c r="C197" s="12" t="str">
        <f ca="1">CHOOSE(B190,CUR_Main,CUR_Foreign) &amp; " / " &amp; C124</f>
        <v>$ / ед</v>
      </c>
      <c r="D197" s="11" t="s">
        <v>1746</v>
      </c>
      <c r="E197" s="11"/>
      <c r="F197" s="228">
        <v>0</v>
      </c>
      <c r="G197" s="228">
        <f t="shared" si="120"/>
        <v>0</v>
      </c>
      <c r="H197" s="228">
        <f t="shared" si="120"/>
        <v>0</v>
      </c>
      <c r="I197" s="228">
        <f t="shared" si="120"/>
        <v>0</v>
      </c>
      <c r="J197" s="228">
        <f t="shared" si="120"/>
        <v>0</v>
      </c>
      <c r="K197" s="228">
        <f t="shared" si="120"/>
        <v>0</v>
      </c>
      <c r="L197" s="11"/>
      <c r="M197" s="146"/>
    </row>
    <row r="198" spans="1:13" ht="12.75" hidden="1" outlineLevel="1" thickTop="1" thickBot="1">
      <c r="A198" s="43"/>
      <c r="B198" s="41"/>
      <c r="C198" s="41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2.75" hidden="1" outlineLevel="1" thickTop="1" thickBot="1">
      <c r="A199" s="11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2.75" hidden="1" outlineLevel="1" thickTop="1" thickBot="1"/>
    <row r="201" spans="1:13" ht="15.95" customHeight="1" thickTop="1" thickBot="1">
      <c r="A201" s="18" t="str">
        <f ca="1">OFFSET(Язык!$A$103,0,LANGUAGE)</f>
        <v>ЗАТРАТЫ НА МАТЕРИАЛЫ И КОМПЛЕКТУЮЩИЕ</v>
      </c>
      <c r="B201" s="23"/>
      <c r="C201" s="19"/>
      <c r="D201" s="18"/>
      <c r="E201" s="18"/>
      <c r="F201" s="19" t="str">
        <f t="shared" ref="F201:K201" si="121">PeriodTitle</f>
        <v>"0"</v>
      </c>
      <c r="G201" s="19">
        <f t="shared" si="121"/>
        <v>2013</v>
      </c>
      <c r="H201" s="19">
        <f t="shared" si="121"/>
        <v>2014</v>
      </c>
      <c r="I201" s="19">
        <f t="shared" si="121"/>
        <v>2015</v>
      </c>
      <c r="J201" s="19">
        <f t="shared" si="121"/>
        <v>2016</v>
      </c>
      <c r="K201" s="19">
        <f t="shared" si="121"/>
        <v>2017</v>
      </c>
      <c r="L201" s="19"/>
      <c r="M201" s="23" t="str">
        <f ca="1">OFFSET(Язык!$A$77,0,LANGUAGE)</f>
        <v>ИТОГО</v>
      </c>
    </row>
    <row r="202" spans="1:13" ht="12" outlineLevel="1" thickTop="1">
      <c r="A202" s="141"/>
      <c r="B202" s="90"/>
      <c r="C202" s="90"/>
      <c r="D202" s="89"/>
      <c r="E202" s="89"/>
      <c r="F202" s="89"/>
      <c r="G202" s="89"/>
      <c r="H202" s="89"/>
      <c r="I202" s="89"/>
      <c r="J202" s="89"/>
      <c r="K202" s="89"/>
      <c r="L202" s="89"/>
      <c r="M202" s="151"/>
    </row>
    <row r="203" spans="1:13" outlineLevel="1" collapsed="1">
      <c r="A203" s="45" t="str">
        <f>A115</f>
        <v>Услуга-чек без спиртного</v>
      </c>
      <c r="B203" s="12"/>
      <c r="C203" s="12" t="str">
        <f ca="1">CHOOSE(B189,CUR_Main,CUR_Foreign)</f>
        <v>$</v>
      </c>
      <c r="D203" s="11" t="str">
        <f>TEXT(B189,"0")&amp;"_00"</f>
        <v>1_00</v>
      </c>
      <c r="E203" s="11"/>
      <c r="F203" s="149"/>
      <c r="G203" s="149">
        <f t="shared" ref="G203:J203" ca="1" si="122">G222+G223+G208</f>
        <v>584999.99999999988</v>
      </c>
      <c r="H203" s="149">
        <f t="shared" ca="1" si="122"/>
        <v>1286999.9999999998</v>
      </c>
      <c r="I203" s="149">
        <f t="shared" ca="1" si="122"/>
        <v>1415700.0000000002</v>
      </c>
      <c r="J203" s="149">
        <f t="shared" ca="1" si="122"/>
        <v>1557270</v>
      </c>
      <c r="K203" s="149">
        <f t="shared" ref="K203" ca="1" si="123">K222+K223+K208</f>
        <v>1712997.0000000005</v>
      </c>
      <c r="L203" s="11"/>
      <c r="M203" s="150">
        <f ca="1">SUM(G203:K203)</f>
        <v>6557967</v>
      </c>
    </row>
    <row r="204" spans="1:13" ht="11.25" hidden="1" customHeight="1" outlineLevel="2">
      <c r="A204" s="2" t="str">
        <f ca="1">OFFSET(Язык!$A$104,0,LANGUAGE)</f>
        <v xml:space="preserve">    минимальный запас готовой продукции</v>
      </c>
      <c r="B204" s="44">
        <f>NWC_T_Goods</f>
        <v>0</v>
      </c>
      <c r="C204" s="28" t="str">
        <f>C115</f>
        <v>ед</v>
      </c>
      <c r="D204" s="2" t="s">
        <v>1736</v>
      </c>
      <c r="F204" s="25"/>
      <c r="G204" s="25">
        <f t="shared" ref="G204:J204" si="124">G123*$B204/PRJ_Step</f>
        <v>0</v>
      </c>
      <c r="H204" s="25">
        <f t="shared" si="124"/>
        <v>0</v>
      </c>
      <c r="I204" s="25">
        <f t="shared" si="124"/>
        <v>0</v>
      </c>
      <c r="J204" s="25">
        <f t="shared" si="124"/>
        <v>0</v>
      </c>
      <c r="K204" s="25">
        <f t="shared" ref="K204" si="125">K123*$B204/PRJ_Step</f>
        <v>0</v>
      </c>
      <c r="M204" s="30"/>
    </row>
    <row r="205" spans="1:13" ht="11.25" hidden="1" customHeight="1" outlineLevel="2">
      <c r="A205" s="2" t="str">
        <f ca="1">OFFSET(Язык!$A$105,0,LANGUAGE)</f>
        <v xml:space="preserve">    фактические запасы готовой продукции</v>
      </c>
      <c r="C205" s="28" t="str">
        <f>C115</f>
        <v>ед</v>
      </c>
      <c r="D205" s="2" t="s">
        <v>1736</v>
      </c>
      <c r="F205" s="25">
        <v>0</v>
      </c>
      <c r="G205" s="25">
        <f t="shared" ref="G205:K205" si="126">F205+G206-G123</f>
        <v>0</v>
      </c>
      <c r="H205" s="25">
        <f t="shared" si="126"/>
        <v>0</v>
      </c>
      <c r="I205" s="25">
        <f t="shared" si="126"/>
        <v>0</v>
      </c>
      <c r="J205" s="25">
        <f t="shared" si="126"/>
        <v>0</v>
      </c>
      <c r="K205" s="25">
        <f t="shared" si="126"/>
        <v>0</v>
      </c>
      <c r="M205" s="30"/>
    </row>
    <row r="206" spans="1:13" ht="11.25" hidden="1" customHeight="1" outlineLevel="2">
      <c r="A206" s="2" t="str">
        <f ca="1">OFFSET(Язык!$A$106,0,LANGUAGE)</f>
        <v xml:space="preserve">    график производства (ед.)</v>
      </c>
      <c r="B206" s="41"/>
      <c r="C206" s="41" t="str">
        <f>C115</f>
        <v>ед</v>
      </c>
      <c r="D206" s="43"/>
      <c r="E206" s="43"/>
      <c r="F206" s="46"/>
      <c r="G206" s="40">
        <f t="shared" ref="G206:K206" si="127">IF((INT(G123)-G123)&gt;0.01,MAX(G123+G204-F205,0),ROUNDUP(MAX(G123+G204-F205,0),0))</f>
        <v>29250</v>
      </c>
      <c r="H206" s="40">
        <f t="shared" si="127"/>
        <v>58500</v>
      </c>
      <c r="I206" s="40">
        <f t="shared" si="127"/>
        <v>58500</v>
      </c>
      <c r="J206" s="40">
        <f t="shared" si="127"/>
        <v>58500</v>
      </c>
      <c r="K206" s="40">
        <f t="shared" si="127"/>
        <v>58500</v>
      </c>
      <c r="M206" s="30">
        <f>SUM(G206:K206)</f>
        <v>263250</v>
      </c>
    </row>
    <row r="207" spans="1:13" ht="11.25" hidden="1" customHeight="1" outlineLevel="2">
      <c r="A207" s="2" t="str">
        <f ca="1">OFFSET(Язык!$A$107,0,LANGUAGE)</f>
        <v xml:space="preserve">    сдельная зарплата: в себестоимости</v>
      </c>
      <c r="C207" s="6" t="str">
        <f ca="1">CHOOSE(B189,CUR_Main,CUR_Foreign)</f>
        <v>$</v>
      </c>
      <c r="D207" s="2" t="str">
        <f>TEXT(B189,"0")&amp;"_01"</f>
        <v>1_01</v>
      </c>
      <c r="F207" s="26"/>
      <c r="G207" s="25">
        <f t="shared" ref="G207:J207" si="128">G196*G123</f>
        <v>0</v>
      </c>
      <c r="H207" s="25">
        <f t="shared" si="128"/>
        <v>0</v>
      </c>
      <c r="I207" s="25">
        <f t="shared" si="128"/>
        <v>0</v>
      </c>
      <c r="J207" s="25">
        <f t="shared" si="128"/>
        <v>0</v>
      </c>
      <c r="K207" s="25">
        <f t="shared" ref="K207" si="129">K196*K123</f>
        <v>0</v>
      </c>
      <c r="M207" s="30">
        <f>SUM(G207:K207)</f>
        <v>0</v>
      </c>
    </row>
    <row r="208" spans="1:13" ht="11.25" hidden="1" customHeight="1" outlineLevel="2">
      <c r="A208" s="2" t="str">
        <f ca="1">OFFSET(Язык!$A$108,0,LANGUAGE)</f>
        <v xml:space="preserve">    --- // --- начисленная за завершенную продукцию</v>
      </c>
      <c r="C208" s="6" t="str">
        <f ca="1">CHOOSE(B189,CUR_Main,CUR_Foreign)</f>
        <v>$</v>
      </c>
      <c r="D208" s="2" t="str">
        <f>TEXT(B189,"0")&amp;"_02"</f>
        <v>1_02</v>
      </c>
      <c r="F208" s="26"/>
      <c r="G208" s="25">
        <f t="shared" ref="G208:J208" si="130">G196*G206</f>
        <v>0</v>
      </c>
      <c r="H208" s="25">
        <f t="shared" si="130"/>
        <v>0</v>
      </c>
      <c r="I208" s="25">
        <f t="shared" si="130"/>
        <v>0</v>
      </c>
      <c r="J208" s="25">
        <f t="shared" si="130"/>
        <v>0</v>
      </c>
      <c r="K208" s="25">
        <f t="shared" ref="K208" si="131">K196*K206</f>
        <v>0</v>
      </c>
      <c r="M208" s="30">
        <f>SUM(G208:K208)</f>
        <v>0</v>
      </c>
    </row>
    <row r="209" spans="1:13" ht="11.25" hidden="1" customHeight="1" outlineLevel="2">
      <c r="A209" s="43" t="str">
        <f ca="1">OFFSET(Язык!$A$109,0,LANGUAGE)</f>
        <v xml:space="preserve">    --- // --- учтенная в запасах готовой продукции</v>
      </c>
      <c r="B209" s="41"/>
      <c r="C209" s="41" t="str">
        <f ca="1">CHOOSE(B189,CUR_Main,CUR_Foreign)</f>
        <v>$</v>
      </c>
      <c r="D209" s="43" t="str">
        <f>TEXT(B189,"0")&amp;"_03"&amp;";int_end"</f>
        <v>1_03;int_end</v>
      </c>
      <c r="E209" s="43"/>
      <c r="F209" s="46">
        <v>0</v>
      </c>
      <c r="G209" s="25">
        <f t="shared" ref="G209:K209" si="132">F209+G208-G207</f>
        <v>0</v>
      </c>
      <c r="H209" s="25">
        <f t="shared" si="132"/>
        <v>0</v>
      </c>
      <c r="I209" s="25">
        <f t="shared" si="132"/>
        <v>0</v>
      </c>
      <c r="J209" s="25">
        <f t="shared" si="132"/>
        <v>0</v>
      </c>
      <c r="K209" s="25">
        <f t="shared" si="132"/>
        <v>0</v>
      </c>
      <c r="M209" s="30"/>
    </row>
    <row r="210" spans="1:13" ht="11.25" hidden="1" customHeight="1" outlineLevel="2">
      <c r="A210" s="2" t="str">
        <f ca="1">OFFSET(Язык!$A$110,0,LANGUAGE)</f>
        <v xml:space="preserve">    материалы: истрачено в проданных продуктах</v>
      </c>
      <c r="C210" s="6" t="str">
        <f ca="1">CHOOSE(B189,CUR_Main,CUR_Foreign)</f>
        <v>$</v>
      </c>
      <c r="D210" s="11" t="str">
        <f>TEXT(B189,"0")&amp;"_04"</f>
        <v>1_04</v>
      </c>
      <c r="E210" s="11"/>
      <c r="F210" s="46"/>
      <c r="G210" s="25">
        <f t="shared" ref="G210:J210" si="133">G189/(1+$B223)*G123</f>
        <v>522321.42857142846</v>
      </c>
      <c r="H210" s="25">
        <f t="shared" si="133"/>
        <v>1149107.1428571427</v>
      </c>
      <c r="I210" s="25">
        <f t="shared" si="133"/>
        <v>1264017.8571428573</v>
      </c>
      <c r="J210" s="25">
        <f t="shared" si="133"/>
        <v>1390419.642857143</v>
      </c>
      <c r="K210" s="25">
        <f t="shared" ref="K210" si="134">K189/(1+$B223)*K123</f>
        <v>1529461.6071428575</v>
      </c>
      <c r="M210" s="30">
        <f>SUM(G210:K210)</f>
        <v>5855327.6785714282</v>
      </c>
    </row>
    <row r="211" spans="1:13" ht="11.25" hidden="1" customHeight="1" outlineLevel="2">
      <c r="A211" s="2" t="str">
        <f ca="1">OFFSET(Язык!$A$111,0,LANGUAGE)</f>
        <v xml:space="preserve">    --- // --- истрачено в произведенных продуктах</v>
      </c>
      <c r="C211" s="6" t="str">
        <f ca="1">CHOOSE(B189,CUR_Main,CUR_Foreign)</f>
        <v>$</v>
      </c>
      <c r="D211" s="11" t="str">
        <f>TEXT(B189,"0")&amp;"_05"</f>
        <v>1_05</v>
      </c>
      <c r="E211" s="11"/>
      <c r="F211" s="46"/>
      <c r="G211" s="25">
        <f t="shared" ref="G211:J211" si="135">G189/(1+$B223)*G206</f>
        <v>522321.42857142846</v>
      </c>
      <c r="H211" s="25">
        <f t="shared" si="135"/>
        <v>1149107.1428571427</v>
      </c>
      <c r="I211" s="25">
        <f t="shared" si="135"/>
        <v>1264017.8571428573</v>
      </c>
      <c r="J211" s="25">
        <f t="shared" si="135"/>
        <v>1390419.642857143</v>
      </c>
      <c r="K211" s="25">
        <f t="shared" ref="K211" si="136">K189/(1+$B223)*K206</f>
        <v>1529461.6071428575</v>
      </c>
      <c r="M211" s="30">
        <f>SUM(G211:K211)</f>
        <v>5855327.6785714282</v>
      </c>
    </row>
    <row r="212" spans="1:13" ht="11.25" hidden="1" customHeight="1" outlineLevel="2">
      <c r="A212" s="2" t="str">
        <f ca="1">OFFSET(Язык!$A$112,0,LANGUAGE)</f>
        <v xml:space="preserve">    --- // --- стоимость в запасах готовой продукции</v>
      </c>
      <c r="C212" s="6" t="str">
        <f ca="1">CHOOSE(B189,CUR_Main,CUR_Foreign)</f>
        <v>$</v>
      </c>
      <c r="D212" s="2" t="str">
        <f>TEXT(B189,"0")&amp;"_06"&amp;";int_end"</f>
        <v>1_06;int_end</v>
      </c>
      <c r="F212" s="26">
        <f>F205*F189/(1+$B223)</f>
        <v>0</v>
      </c>
      <c r="G212" s="25">
        <f t="shared" ref="G212:K212" si="137">F212+G211-G210</f>
        <v>0</v>
      </c>
      <c r="H212" s="25">
        <f t="shared" si="137"/>
        <v>0</v>
      </c>
      <c r="I212" s="25">
        <f t="shared" si="137"/>
        <v>0</v>
      </c>
      <c r="J212" s="25">
        <f t="shared" si="137"/>
        <v>0</v>
      </c>
      <c r="K212" s="25">
        <f t="shared" si="137"/>
        <v>0</v>
      </c>
      <c r="M212" s="30"/>
    </row>
    <row r="213" spans="1:13" ht="11.25" hidden="1" customHeight="1" outlineLevel="2">
      <c r="A213" s="2" t="str">
        <f ca="1">OFFSET(Язык!$A$113,0,LANGUAGE)</f>
        <v xml:space="preserve">    --- // --- в незавершенном производстве</v>
      </c>
      <c r="B213" s="44">
        <f>NWC_T_Cycle</f>
        <v>0</v>
      </c>
      <c r="C213" s="6" t="str">
        <f ca="1">CHOOSE(B189,CUR_Main,CUR_Foreign)</f>
        <v>$</v>
      </c>
      <c r="D213" s="2" t="str">
        <f>TEXT(B189,"0")&amp;"_07"&amp;";int_end"</f>
        <v>1_07;int_end</v>
      </c>
      <c r="F213" s="26">
        <v>0</v>
      </c>
      <c r="G213" s="25">
        <f t="shared" ref="G213:J213" si="138">G211*$B213/PRJ_Step</f>
        <v>0</v>
      </c>
      <c r="H213" s="25">
        <f t="shared" si="138"/>
        <v>0</v>
      </c>
      <c r="I213" s="25">
        <f t="shared" si="138"/>
        <v>0</v>
      </c>
      <c r="J213" s="25">
        <f t="shared" si="138"/>
        <v>0</v>
      </c>
      <c r="K213" s="25">
        <f t="shared" ref="K213" si="139">K211*$B213/PRJ_Step</f>
        <v>0</v>
      </c>
      <c r="M213" s="30"/>
    </row>
    <row r="214" spans="1:13" ht="11.25" hidden="1" customHeight="1" outlineLevel="2">
      <c r="A214" s="2" t="str">
        <f ca="1">OFFSET(Язык!$A$114,0,LANGUAGE)</f>
        <v xml:space="preserve">    --- // --- потребление для производства</v>
      </c>
      <c r="C214" s="6" t="str">
        <f ca="1">CHOOSE(B189,CUR_Main,CUR_Foreign)</f>
        <v>$</v>
      </c>
      <c r="D214" s="2" t="str">
        <f>TEXT(B189,"0")&amp;"_08"</f>
        <v>1_08</v>
      </c>
      <c r="F214" s="26"/>
      <c r="G214" s="25">
        <f t="shared" ref="G214:K214" si="140">G211+G213-F213</f>
        <v>522321.42857142846</v>
      </c>
      <c r="H214" s="25">
        <f t="shared" si="140"/>
        <v>1149107.1428571427</v>
      </c>
      <c r="I214" s="25">
        <f t="shared" si="140"/>
        <v>1264017.8571428573</v>
      </c>
      <c r="J214" s="25">
        <f t="shared" si="140"/>
        <v>1390419.642857143</v>
      </c>
      <c r="K214" s="25">
        <f t="shared" si="140"/>
        <v>1529461.6071428575</v>
      </c>
      <c r="M214" s="30">
        <f>SUM(G214:K214)</f>
        <v>5855327.6785714282</v>
      </c>
    </row>
    <row r="215" spans="1:13" ht="11.25" hidden="1" customHeight="1" outlineLevel="2">
      <c r="A215" s="2" t="str">
        <f ca="1">OFFSET(Язык!$A$115,0,LANGUAGE)</f>
        <v xml:space="preserve">    --- // --- минимальный запас</v>
      </c>
      <c r="B215" s="44">
        <f>NWC_T_Mat</f>
        <v>0</v>
      </c>
      <c r="C215" s="6" t="str">
        <f ca="1">CHOOSE(B189,CUR_Main,CUR_Foreign)</f>
        <v>$</v>
      </c>
      <c r="D215" s="2" t="s">
        <v>1736</v>
      </c>
      <c r="F215" s="26"/>
      <c r="G215" s="26">
        <f t="shared" ref="G215:J215" si="141">G214*$B215/PRJ_Step</f>
        <v>0</v>
      </c>
      <c r="H215" s="26">
        <f t="shared" si="141"/>
        <v>0</v>
      </c>
      <c r="I215" s="26">
        <f t="shared" si="141"/>
        <v>0</v>
      </c>
      <c r="J215" s="26">
        <f t="shared" si="141"/>
        <v>0</v>
      </c>
      <c r="K215" s="26">
        <f t="shared" ref="K215" si="142">K214*$B215/PRJ_Step</f>
        <v>0</v>
      </c>
      <c r="M215" s="30"/>
    </row>
    <row r="216" spans="1:13" ht="11.25" hidden="1" customHeight="1" outlineLevel="2">
      <c r="A216" s="2" t="str">
        <f ca="1">OFFSET(Язык!$A$116,0,LANGUAGE)</f>
        <v xml:space="preserve">    --- // --- фактические запасы</v>
      </c>
      <c r="C216" s="39" t="str">
        <f ca="1">CHOOSE(B189,CUR_Main,CUR_Foreign)</f>
        <v>$</v>
      </c>
      <c r="D216" s="2" t="str">
        <f>TEXT(B189,"0")&amp;"_09"&amp;";int_end"</f>
        <v>1_09;int_end</v>
      </c>
      <c r="F216" s="26">
        <v>0</v>
      </c>
      <c r="G216" s="26">
        <f t="shared" ref="G216:K216" si="143">F216+G217-G214</f>
        <v>0</v>
      </c>
      <c r="H216" s="26">
        <f t="shared" si="143"/>
        <v>0</v>
      </c>
      <c r="I216" s="26">
        <f t="shared" si="143"/>
        <v>0</v>
      </c>
      <c r="J216" s="26">
        <f t="shared" si="143"/>
        <v>0</v>
      </c>
      <c r="K216" s="26">
        <f t="shared" si="143"/>
        <v>0</v>
      </c>
      <c r="M216" s="30"/>
    </row>
    <row r="217" spans="1:13" ht="11.25" hidden="1" customHeight="1" outlineLevel="2">
      <c r="A217" s="43" t="str">
        <f ca="1">OFFSET(Язык!$A$117,0,LANGUAGE)</f>
        <v xml:space="preserve">    график закупок материалов и комплектующих</v>
      </c>
      <c r="B217" s="41"/>
      <c r="C217" s="42" t="str">
        <f ca="1">CHOOSE(B189,CUR_Main,CUR_Foreign)</f>
        <v>$</v>
      </c>
      <c r="D217" s="43" t="str">
        <f>TEXT(B189,"0")&amp;"_10"</f>
        <v>1_10</v>
      </c>
      <c r="E217" s="43"/>
      <c r="F217" s="46"/>
      <c r="G217" s="40">
        <f t="shared" ref="G217:K217" si="144">MAX(G214+G215-F216,0)</f>
        <v>522321.42857142846</v>
      </c>
      <c r="H217" s="40">
        <f t="shared" si="144"/>
        <v>1149107.1428571427</v>
      </c>
      <c r="I217" s="40">
        <f t="shared" si="144"/>
        <v>1264017.8571428573</v>
      </c>
      <c r="J217" s="40">
        <f t="shared" si="144"/>
        <v>1390419.642857143</v>
      </c>
      <c r="K217" s="40">
        <f t="shared" si="144"/>
        <v>1529461.6071428575</v>
      </c>
      <c r="M217" s="30">
        <f>SUM(G217:K217)</f>
        <v>5855327.6785714282</v>
      </c>
    </row>
    <row r="218" spans="1:13" ht="11.25" hidden="1" customHeight="1" outlineLevel="2">
      <c r="A218" s="37" t="str">
        <f ca="1">OFFSET(Язык!$A$118,0,LANGUAGE)</f>
        <v xml:space="preserve">    график оплаты материалов и комплектующих:</v>
      </c>
      <c r="B218" s="49" t="str">
        <f ca="1">OFFSET(Язык!$A$99,0,LANGUAGE)</f>
        <v>доля</v>
      </c>
      <c r="C218" s="49" t="str">
        <f ca="1">OFFSET(Язык!$A$100,0,LANGUAGE)</f>
        <v>срок</v>
      </c>
      <c r="F218" s="26"/>
      <c r="G218" s="26"/>
      <c r="H218" s="26"/>
      <c r="I218" s="26"/>
      <c r="J218" s="26"/>
      <c r="K218" s="26"/>
      <c r="M218" s="30"/>
    </row>
    <row r="219" spans="1:13" ht="11.25" hidden="1" customHeight="1" outlineLevel="2">
      <c r="A219" s="2" t="str">
        <f ca="1">OFFSET(Язык!$A$119,0,LANGUAGE)</f>
        <v xml:space="preserve">    немедленная оплата</v>
      </c>
      <c r="B219" s="97">
        <f>1-B220-B221</f>
        <v>1</v>
      </c>
      <c r="C219" s="12" t="s">
        <v>2042</v>
      </c>
      <c r="D219" s="2" t="str">
        <f>TEXT(B189,"0")&amp;"_11"</f>
        <v>1_11</v>
      </c>
      <c r="F219" s="26"/>
      <c r="G219" s="26">
        <f t="shared" ref="G219:J219" si="145">G217*$B219</f>
        <v>522321.42857142846</v>
      </c>
      <c r="H219" s="26">
        <f t="shared" si="145"/>
        <v>1149107.1428571427</v>
      </c>
      <c r="I219" s="26">
        <f t="shared" si="145"/>
        <v>1264017.8571428573</v>
      </c>
      <c r="J219" s="26">
        <f t="shared" si="145"/>
        <v>1390419.642857143</v>
      </c>
      <c r="K219" s="26">
        <f t="shared" ref="K219" si="146">K217*$B219</f>
        <v>1529461.6071428575</v>
      </c>
      <c r="M219" s="30">
        <f>SUM(G219:K219)</f>
        <v>5855327.6785714282</v>
      </c>
    </row>
    <row r="220" spans="1:13" ht="11.25" hidden="1" customHeight="1" outlineLevel="2">
      <c r="A220" s="2" t="str">
        <f ca="1">OFFSET(Язык!$A$120,0,LANGUAGE)</f>
        <v xml:space="preserve">    авансовая оплата</v>
      </c>
      <c r="B220" s="98">
        <f>NWC_T_Cr_AdvK</f>
        <v>0</v>
      </c>
      <c r="C220" s="99">
        <f>NWC_T_Cr_AdvT</f>
        <v>0</v>
      </c>
      <c r="D220" s="2" t="str">
        <f>TEXT(B189,"0")&amp;"_12"</f>
        <v>1_12</v>
      </c>
      <c r="E220" s="2">
        <f>INT(C220/PRJ_Step)</f>
        <v>0</v>
      </c>
      <c r="F220" s="26">
        <f t="shared" ref="F220:J220" ca="1" si="147">IF((F$27+$E220)&lt;=PRJ_Len,OFFSET(F217,0,$E220)*$B220,0)</f>
        <v>0</v>
      </c>
      <c r="G220" s="26">
        <f t="shared" ca="1" si="147"/>
        <v>0</v>
      </c>
      <c r="H220" s="26">
        <f t="shared" ca="1" si="147"/>
        <v>0</v>
      </c>
      <c r="I220" s="26">
        <f t="shared" ca="1" si="147"/>
        <v>0</v>
      </c>
      <c r="J220" s="26">
        <f t="shared" ca="1" si="147"/>
        <v>0</v>
      </c>
      <c r="K220" s="26">
        <f t="shared" ref="K220" ca="1" si="148">IF((K$27+$E220)&lt;=PRJ_Len,OFFSET(K217,0,$E220)*$B220,0)</f>
        <v>0</v>
      </c>
      <c r="M220" s="30">
        <f ca="1">SUM(G220:K220)</f>
        <v>0</v>
      </c>
    </row>
    <row r="221" spans="1:13" ht="11.25" hidden="1" customHeight="1" outlineLevel="2">
      <c r="A221" s="2" t="str">
        <f ca="1">OFFSET(Язык!$A$121,0,LANGUAGE)</f>
        <v xml:space="preserve">    оплата в кредит</v>
      </c>
      <c r="B221" s="98">
        <f>NWC_T_Cr_CrdK</f>
        <v>0</v>
      </c>
      <c r="C221" s="99">
        <f>NWC_T_Cr_CrdT</f>
        <v>0</v>
      </c>
      <c r="D221" s="2" t="str">
        <f>TEXT(B189,"0")&amp;"_13"</f>
        <v>1_13</v>
      </c>
      <c r="E221" s="2">
        <f>INT(C221/PRJ_Step)</f>
        <v>0</v>
      </c>
      <c r="F221" s="26">
        <f t="shared" ref="F221:J221" ca="1" si="149">IF((F$27-$E221)&gt;=1,OFFSET(F217,0,-$E221)*$B221,0)</f>
        <v>0</v>
      </c>
      <c r="G221" s="26">
        <f t="shared" ca="1" si="149"/>
        <v>0</v>
      </c>
      <c r="H221" s="26">
        <f t="shared" ca="1" si="149"/>
        <v>0</v>
      </c>
      <c r="I221" s="26">
        <f t="shared" ca="1" si="149"/>
        <v>0</v>
      </c>
      <c r="J221" s="26">
        <f t="shared" ca="1" si="149"/>
        <v>0</v>
      </c>
      <c r="K221" s="26">
        <f t="shared" ref="K221" ca="1" si="150">IF((K$27-$E221)&gt;=1,OFFSET(K217,0,-$E221)*$B221,0)</f>
        <v>0</v>
      </c>
      <c r="M221" s="30">
        <f ca="1">SUM(G221:K221)</f>
        <v>0</v>
      </c>
    </row>
    <row r="222" spans="1:13" ht="11.25" hidden="1" customHeight="1" outlineLevel="2">
      <c r="A222" s="2" t="str">
        <f ca="1">OFFSET(Язык!$A$122,0,LANGUAGE)</f>
        <v xml:space="preserve">    суммарные выплаты за материалы (без НДС)</v>
      </c>
      <c r="C222" s="6" t="str">
        <f ca="1">CHOOSE(B189,CUR_Main,CUR_Foreign)</f>
        <v>$</v>
      </c>
      <c r="D222" s="2" t="str">
        <f>TEXT(B189,"0")&amp;"_14"</f>
        <v>1_14</v>
      </c>
      <c r="F222" s="26">
        <f t="shared" ref="F222:J222" ca="1" si="151">SUM(F219:F221)</f>
        <v>0</v>
      </c>
      <c r="G222" s="26">
        <f t="shared" ca="1" si="151"/>
        <v>522321.42857142846</v>
      </c>
      <c r="H222" s="26">
        <f t="shared" ca="1" si="151"/>
        <v>1149107.1428571427</v>
      </c>
      <c r="I222" s="26">
        <f t="shared" ca="1" si="151"/>
        <v>1264017.8571428573</v>
      </c>
      <c r="J222" s="26">
        <f t="shared" ca="1" si="151"/>
        <v>1390419.642857143</v>
      </c>
      <c r="K222" s="26">
        <f t="shared" ref="K222" ca="1" si="152">SUM(K219:K221)</f>
        <v>1529461.6071428575</v>
      </c>
      <c r="M222" s="30">
        <f ca="1">SUM(G222:K222)</f>
        <v>5855327.6785714282</v>
      </c>
    </row>
    <row r="223" spans="1:13" ht="11.25" hidden="1" customHeight="1" outlineLevel="2">
      <c r="A223" s="2" t="str">
        <f ca="1">OFFSET(Язык!$A$123,0,LANGUAGE)</f>
        <v xml:space="preserve">    уплачено НДС</v>
      </c>
      <c r="B223" s="24">
        <f>VAT</f>
        <v>0.12</v>
      </c>
      <c r="C223" s="6" t="str">
        <f ca="1">CHOOSE(B189,CUR_Main,CUR_Foreign)</f>
        <v>$</v>
      </c>
      <c r="D223" s="2" t="str">
        <f>TEXT(B189,"0")&amp;"_15"</f>
        <v>1_15</v>
      </c>
      <c r="F223" s="26">
        <f t="shared" ref="F223:J223" ca="1" si="153">F222*$B223</f>
        <v>0</v>
      </c>
      <c r="G223" s="26">
        <f t="shared" ca="1" si="153"/>
        <v>62678.571428571413</v>
      </c>
      <c r="H223" s="26">
        <f t="shared" ca="1" si="153"/>
        <v>137892.85714285713</v>
      </c>
      <c r="I223" s="26">
        <f t="shared" ca="1" si="153"/>
        <v>151682.14285714287</v>
      </c>
      <c r="J223" s="26">
        <f t="shared" ca="1" si="153"/>
        <v>166850.35714285716</v>
      </c>
      <c r="K223" s="26">
        <f t="shared" ref="K223" ca="1" si="154">K222*$B223</f>
        <v>183535.3928571429</v>
      </c>
      <c r="M223" s="30">
        <f ca="1">SUM(G223:K223)</f>
        <v>702639.32142857148</v>
      </c>
    </row>
    <row r="224" spans="1:13" ht="11.25" hidden="1" customHeight="1" outlineLevel="2">
      <c r="A224" s="2" t="str">
        <f ca="1">OFFSET(Язык!$A$124,0,LANGUAGE)</f>
        <v xml:space="preserve">    авансы в обороте в течение периода</v>
      </c>
      <c r="C224" s="6" t="str">
        <f ca="1">CHOOSE(B189,CUR_Main,CUR_Foreign)</f>
        <v>$</v>
      </c>
      <c r="D224" s="2" t="str">
        <f>TEXT(B189,"0")&amp;"_16"&amp;";int_end"</f>
        <v>1_16;int_end</v>
      </c>
      <c r="E224" s="2">
        <f>C220-E220*PRJ_Step</f>
        <v>0</v>
      </c>
      <c r="F224" s="26">
        <f t="shared" ref="F224:J224" si="155">F217*$B220*$E224/PRJ_Step</f>
        <v>0</v>
      </c>
      <c r="G224" s="26">
        <f t="shared" si="155"/>
        <v>0</v>
      </c>
      <c r="H224" s="26">
        <f t="shared" si="155"/>
        <v>0</v>
      </c>
      <c r="I224" s="26">
        <f t="shared" si="155"/>
        <v>0</v>
      </c>
      <c r="J224" s="26">
        <f t="shared" si="155"/>
        <v>0</v>
      </c>
      <c r="K224" s="26">
        <f t="shared" ref="K224" si="156">K217*$B220*$E224/PRJ_Step</f>
        <v>0</v>
      </c>
      <c r="M224" s="30"/>
    </row>
    <row r="225" spans="1:13" ht="11.25" hidden="1" customHeight="1" outlineLevel="2">
      <c r="A225" s="2" t="str">
        <f ca="1">OFFSET(Язык!$A$125,0,LANGUAGE)</f>
        <v xml:space="preserve">    авансы, переходящие в следующий период</v>
      </c>
      <c r="C225" s="6" t="str">
        <f ca="1">CHOOSE(B189,CUR_Main,CUR_Foreign)</f>
        <v>$</v>
      </c>
      <c r="D225" s="2" t="str">
        <f>TEXT(B189,"0")&amp;"_17"&amp;";int_end"</f>
        <v>1_17;int_end</v>
      </c>
      <c r="F225" s="26">
        <f t="shared" ref="F225:K225" ca="1" si="157">E225+F220-F217*$B220</f>
        <v>0</v>
      </c>
      <c r="G225" s="26">
        <f t="shared" ca="1" si="157"/>
        <v>0</v>
      </c>
      <c r="H225" s="26">
        <f t="shared" ca="1" si="157"/>
        <v>0</v>
      </c>
      <c r="I225" s="26">
        <f t="shared" ca="1" si="157"/>
        <v>0</v>
      </c>
      <c r="J225" s="26">
        <f t="shared" ca="1" si="157"/>
        <v>0</v>
      </c>
      <c r="K225" s="26">
        <f t="shared" ca="1" si="157"/>
        <v>0</v>
      </c>
      <c r="M225" s="30"/>
    </row>
    <row r="226" spans="1:13" ht="11.25" hidden="1" customHeight="1" outlineLevel="2">
      <c r="A226" s="2" t="str">
        <f ca="1">OFFSET(Язык!$A$126,0,LANGUAGE)</f>
        <v xml:space="preserve">    кредиторская задолж.  в обороте в течение периода</v>
      </c>
      <c r="C226" s="6" t="str">
        <f ca="1">CHOOSE(B189,CUR_Main,CUR_Foreign)</f>
        <v>$</v>
      </c>
      <c r="D226" s="2" t="str">
        <f>TEXT(B189,"0")&amp;"_18"&amp;";int_end"</f>
        <v>1_18;int_end</v>
      </c>
      <c r="E226" s="2">
        <f>C221-E221*PRJ_Step</f>
        <v>0</v>
      </c>
      <c r="F226" s="26">
        <f t="shared" ref="F226:J226" si="158">F217*$B221*$E226/PRJ_Step</f>
        <v>0</v>
      </c>
      <c r="G226" s="26">
        <f t="shared" si="158"/>
        <v>0</v>
      </c>
      <c r="H226" s="26">
        <f t="shared" si="158"/>
        <v>0</v>
      </c>
      <c r="I226" s="26">
        <f t="shared" si="158"/>
        <v>0</v>
      </c>
      <c r="J226" s="26">
        <f t="shared" si="158"/>
        <v>0</v>
      </c>
      <c r="K226" s="26">
        <f t="shared" ref="K226" si="159">K217*$B221*$E226/PRJ_Step</f>
        <v>0</v>
      </c>
      <c r="M226" s="30"/>
    </row>
    <row r="227" spans="1:13" ht="11.25" hidden="1" customHeight="1" outlineLevel="2">
      <c r="A227" s="2" t="str">
        <f ca="1">OFFSET(Язык!$A$127,0,LANGUAGE)</f>
        <v xml:space="preserve">    кредиторская задолж., переходящая в след. период</v>
      </c>
      <c r="C227" s="6" t="str">
        <f ca="1">CHOOSE(B189,CUR_Main,CUR_Foreign)</f>
        <v>$</v>
      </c>
      <c r="D227" s="2" t="str">
        <f>TEXT(B189,"0")&amp;"_19"&amp;";int_end"</f>
        <v>1_19;int_end</v>
      </c>
      <c r="F227" s="26">
        <f t="shared" ref="F227:K227" ca="1" si="160">E227+F217*$B221-F221</f>
        <v>0</v>
      </c>
      <c r="G227" s="26">
        <f t="shared" ca="1" si="160"/>
        <v>0</v>
      </c>
      <c r="H227" s="26">
        <f t="shared" ca="1" si="160"/>
        <v>0</v>
      </c>
      <c r="I227" s="26">
        <f t="shared" ca="1" si="160"/>
        <v>0</v>
      </c>
      <c r="J227" s="26">
        <f t="shared" ca="1" si="160"/>
        <v>0</v>
      </c>
      <c r="K227" s="26">
        <f t="shared" ca="1" si="160"/>
        <v>0</v>
      </c>
      <c r="M227" s="30"/>
    </row>
    <row r="228" spans="1:13" outlineLevel="1" collapsed="1">
      <c r="A228" s="45" t="str">
        <f>A116</f>
        <v>Услуга-чек со спиртным</v>
      </c>
      <c r="B228" s="12"/>
      <c r="C228" s="12" t="str">
        <f ca="1">CHOOSE(B190,CUR_Main,CUR_Foreign)</f>
        <v>$</v>
      </c>
      <c r="D228" s="11" t="str">
        <f>TEXT(B190,"0")&amp;"_00"</f>
        <v>1_00</v>
      </c>
      <c r="E228" s="11"/>
      <c r="F228" s="149"/>
      <c r="G228" s="149">
        <f t="shared" ref="G228:J228" ca="1" si="161">G247+G248+G233</f>
        <v>877500</v>
      </c>
      <c r="H228" s="149">
        <f t="shared" ca="1" si="161"/>
        <v>1930499.9999999998</v>
      </c>
      <c r="I228" s="149">
        <f t="shared" ca="1" si="161"/>
        <v>2123550</v>
      </c>
      <c r="J228" s="149">
        <f t="shared" ca="1" si="161"/>
        <v>2335905</v>
      </c>
      <c r="K228" s="149">
        <f t="shared" ref="K228" ca="1" si="162">K247+K248+K233</f>
        <v>2569495.5</v>
      </c>
      <c r="L228" s="11"/>
      <c r="M228" s="150">
        <f ca="1">SUM(G228:K228)</f>
        <v>9836950.5</v>
      </c>
    </row>
    <row r="229" spans="1:13" ht="11.25" hidden="1" customHeight="1" outlineLevel="2">
      <c r="A229" s="2" t="str">
        <f ca="1">OFFSET(Язык!$A$104,0,LANGUAGE)</f>
        <v xml:space="preserve">    минимальный запас готовой продукции</v>
      </c>
      <c r="B229" s="44">
        <f>NWC_T_Goods</f>
        <v>0</v>
      </c>
      <c r="C229" s="28" t="str">
        <f>C116</f>
        <v>ед</v>
      </c>
      <c r="D229" s="2" t="s">
        <v>1736</v>
      </c>
      <c r="F229" s="25"/>
      <c r="G229" s="25">
        <f t="shared" ref="G229:J229" si="163">G124*$B229/PRJ_Step</f>
        <v>0</v>
      </c>
      <c r="H229" s="25">
        <f t="shared" si="163"/>
        <v>0</v>
      </c>
      <c r="I229" s="25">
        <f t="shared" si="163"/>
        <v>0</v>
      </c>
      <c r="J229" s="25">
        <f t="shared" si="163"/>
        <v>0</v>
      </c>
      <c r="K229" s="25">
        <f t="shared" ref="K229" si="164">K124*$B229/PRJ_Step</f>
        <v>0</v>
      </c>
      <c r="M229" s="30"/>
    </row>
    <row r="230" spans="1:13" ht="11.25" hidden="1" customHeight="1" outlineLevel="2">
      <c r="A230" s="2" t="str">
        <f ca="1">OFFSET(Язык!$A$105,0,LANGUAGE)</f>
        <v xml:space="preserve">    фактические запасы готовой продукции</v>
      </c>
      <c r="C230" s="28" t="str">
        <f>C116</f>
        <v>ед</v>
      </c>
      <c r="D230" s="2" t="s">
        <v>1736</v>
      </c>
      <c r="F230" s="25">
        <v>0</v>
      </c>
      <c r="G230" s="25">
        <f t="shared" ref="G230:K230" si="165">F230+G231-G124</f>
        <v>0</v>
      </c>
      <c r="H230" s="25">
        <f t="shared" si="165"/>
        <v>0</v>
      </c>
      <c r="I230" s="25">
        <f t="shared" si="165"/>
        <v>0</v>
      </c>
      <c r="J230" s="25">
        <f t="shared" si="165"/>
        <v>0</v>
      </c>
      <c r="K230" s="25">
        <f t="shared" si="165"/>
        <v>0</v>
      </c>
      <c r="M230" s="30"/>
    </row>
    <row r="231" spans="1:13" ht="11.25" hidden="1" customHeight="1" outlineLevel="2">
      <c r="A231" s="2" t="str">
        <f ca="1">OFFSET(Язык!$A$106,0,LANGUAGE)</f>
        <v xml:space="preserve">    график производства (ед.)</v>
      </c>
      <c r="B231" s="41"/>
      <c r="C231" s="41" t="str">
        <f>C116</f>
        <v>ед</v>
      </c>
      <c r="D231" s="43"/>
      <c r="E231" s="43"/>
      <c r="F231" s="46"/>
      <c r="G231" s="40">
        <f t="shared" ref="G231:K231" si="166">IF((INT(G124)-G124)&gt;0.01,MAX(G124+G229-F230,0),ROUNDUP(MAX(G124+G229-F230,0),0))</f>
        <v>29250</v>
      </c>
      <c r="H231" s="40">
        <f t="shared" si="166"/>
        <v>58500</v>
      </c>
      <c r="I231" s="40">
        <f t="shared" si="166"/>
        <v>58500</v>
      </c>
      <c r="J231" s="40">
        <f t="shared" si="166"/>
        <v>58500</v>
      </c>
      <c r="K231" s="40">
        <f t="shared" si="166"/>
        <v>58500</v>
      </c>
      <c r="M231" s="30">
        <f>SUM(G231:K231)</f>
        <v>263250</v>
      </c>
    </row>
    <row r="232" spans="1:13" ht="11.25" hidden="1" customHeight="1" outlineLevel="2">
      <c r="A232" s="2" t="str">
        <f ca="1">OFFSET(Язык!$A$107,0,LANGUAGE)</f>
        <v xml:space="preserve">    сдельная зарплата: в себестоимости</v>
      </c>
      <c r="C232" s="6" t="str">
        <f ca="1">CHOOSE(B190,CUR_Main,CUR_Foreign)</f>
        <v>$</v>
      </c>
      <c r="D232" s="2" t="str">
        <f>TEXT(B190,"0")&amp;"_01"</f>
        <v>1_01</v>
      </c>
      <c r="F232" s="26"/>
      <c r="G232" s="25">
        <f t="shared" ref="G232:J232" si="167">G197*G124</f>
        <v>0</v>
      </c>
      <c r="H232" s="25">
        <f t="shared" si="167"/>
        <v>0</v>
      </c>
      <c r="I232" s="25">
        <f t="shared" si="167"/>
        <v>0</v>
      </c>
      <c r="J232" s="25">
        <f t="shared" si="167"/>
        <v>0</v>
      </c>
      <c r="K232" s="25">
        <f t="shared" ref="K232" si="168">K197*K124</f>
        <v>0</v>
      </c>
      <c r="M232" s="30">
        <f>SUM(G232:K232)</f>
        <v>0</v>
      </c>
    </row>
    <row r="233" spans="1:13" ht="11.25" hidden="1" customHeight="1" outlineLevel="2">
      <c r="A233" s="2" t="str">
        <f ca="1">OFFSET(Язык!$A$108,0,LANGUAGE)</f>
        <v xml:space="preserve">    --- // --- начисленная за завершенную продукцию</v>
      </c>
      <c r="C233" s="6" t="str">
        <f ca="1">CHOOSE(B190,CUR_Main,CUR_Foreign)</f>
        <v>$</v>
      </c>
      <c r="D233" s="2" t="str">
        <f>TEXT(B190,"0")&amp;"_02"</f>
        <v>1_02</v>
      </c>
      <c r="F233" s="26"/>
      <c r="G233" s="25">
        <f t="shared" ref="G233:J233" si="169">G197*G231</f>
        <v>0</v>
      </c>
      <c r="H233" s="25">
        <f t="shared" si="169"/>
        <v>0</v>
      </c>
      <c r="I233" s="25">
        <f t="shared" si="169"/>
        <v>0</v>
      </c>
      <c r="J233" s="25">
        <f t="shared" si="169"/>
        <v>0</v>
      </c>
      <c r="K233" s="25">
        <f t="shared" ref="K233" si="170">K197*K231</f>
        <v>0</v>
      </c>
      <c r="M233" s="30">
        <f>SUM(G233:K233)</f>
        <v>0</v>
      </c>
    </row>
    <row r="234" spans="1:13" ht="11.25" hidden="1" customHeight="1" outlineLevel="2">
      <c r="A234" s="43" t="str">
        <f ca="1">OFFSET(Язык!$A$109,0,LANGUAGE)</f>
        <v xml:space="preserve">    --- // --- учтенная в запасах готовой продукции</v>
      </c>
      <c r="B234" s="41"/>
      <c r="C234" s="41" t="str">
        <f ca="1">CHOOSE(B190,CUR_Main,CUR_Foreign)</f>
        <v>$</v>
      </c>
      <c r="D234" s="43" t="str">
        <f>TEXT(B190,"0")&amp;"_03"&amp;";int_end"</f>
        <v>1_03;int_end</v>
      </c>
      <c r="E234" s="43"/>
      <c r="F234" s="46">
        <v>0</v>
      </c>
      <c r="G234" s="25">
        <f t="shared" ref="G234:K234" si="171">F234+G233-G232</f>
        <v>0</v>
      </c>
      <c r="H234" s="25">
        <f t="shared" si="171"/>
        <v>0</v>
      </c>
      <c r="I234" s="25">
        <f t="shared" si="171"/>
        <v>0</v>
      </c>
      <c r="J234" s="25">
        <f t="shared" si="171"/>
        <v>0</v>
      </c>
      <c r="K234" s="25">
        <f t="shared" si="171"/>
        <v>0</v>
      </c>
      <c r="M234" s="30"/>
    </row>
    <row r="235" spans="1:13" ht="11.25" hidden="1" customHeight="1" outlineLevel="2">
      <c r="A235" s="2" t="str">
        <f ca="1">OFFSET(Язык!$A$110,0,LANGUAGE)</f>
        <v xml:space="preserve">    материалы: истрачено в проданных продуктах</v>
      </c>
      <c r="C235" s="6" t="str">
        <f ca="1">CHOOSE(B190,CUR_Main,CUR_Foreign)</f>
        <v>$</v>
      </c>
      <c r="D235" s="11" t="str">
        <f>TEXT(B190,"0")&amp;"_04"</f>
        <v>1_04</v>
      </c>
      <c r="E235" s="11"/>
      <c r="F235" s="46"/>
      <c r="G235" s="25">
        <f t="shared" ref="G235:J235" si="172">G190/(1+$B248)*G124</f>
        <v>783482.14285714284</v>
      </c>
      <c r="H235" s="25">
        <f t="shared" si="172"/>
        <v>1723660.7142857141</v>
      </c>
      <c r="I235" s="25">
        <f t="shared" si="172"/>
        <v>1896026.7857142857</v>
      </c>
      <c r="J235" s="25">
        <f t="shared" si="172"/>
        <v>2085629.4642857143</v>
      </c>
      <c r="K235" s="25">
        <f t="shared" ref="K235" si="173">K190/(1+$B248)*K124</f>
        <v>2294192.4107142859</v>
      </c>
      <c r="M235" s="30">
        <f>SUM(G235:K235)</f>
        <v>8782991.5178571437</v>
      </c>
    </row>
    <row r="236" spans="1:13" ht="11.25" hidden="1" customHeight="1" outlineLevel="2">
      <c r="A236" s="2" t="str">
        <f ca="1">OFFSET(Язык!$A$111,0,LANGUAGE)</f>
        <v xml:space="preserve">    --- // --- истрачено в произведенных продуктах</v>
      </c>
      <c r="C236" s="6" t="str">
        <f ca="1">CHOOSE(B190,CUR_Main,CUR_Foreign)</f>
        <v>$</v>
      </c>
      <c r="D236" s="11" t="str">
        <f>TEXT(B190,"0")&amp;"_05"</f>
        <v>1_05</v>
      </c>
      <c r="E236" s="11"/>
      <c r="F236" s="46"/>
      <c r="G236" s="25">
        <f t="shared" ref="G236:J236" si="174">G190/(1+$B248)*G231</f>
        <v>783482.14285714284</v>
      </c>
      <c r="H236" s="25">
        <f t="shared" si="174"/>
        <v>1723660.7142857141</v>
      </c>
      <c r="I236" s="25">
        <f t="shared" si="174"/>
        <v>1896026.7857142857</v>
      </c>
      <c r="J236" s="25">
        <f t="shared" si="174"/>
        <v>2085629.4642857143</v>
      </c>
      <c r="K236" s="25">
        <f t="shared" ref="K236" si="175">K190/(1+$B248)*K231</f>
        <v>2294192.4107142859</v>
      </c>
      <c r="M236" s="30">
        <f>SUM(G236:K236)</f>
        <v>8782991.5178571437</v>
      </c>
    </row>
    <row r="237" spans="1:13" ht="11.25" hidden="1" customHeight="1" outlineLevel="2">
      <c r="A237" s="2" t="str">
        <f ca="1">OFFSET(Язык!$A$112,0,LANGUAGE)</f>
        <v xml:space="preserve">    --- // --- стоимость в запасах готовой продукции</v>
      </c>
      <c r="C237" s="6" t="str">
        <f ca="1">CHOOSE(B190,CUR_Main,CUR_Foreign)</f>
        <v>$</v>
      </c>
      <c r="D237" s="2" t="str">
        <f>TEXT(B190,"0")&amp;"_06"&amp;";int_end"</f>
        <v>1_06;int_end</v>
      </c>
      <c r="F237" s="26">
        <f>F230*F190/(1+$B248)</f>
        <v>0</v>
      </c>
      <c r="G237" s="25">
        <f t="shared" ref="G237:K237" si="176">F237+G236-G235</f>
        <v>0</v>
      </c>
      <c r="H237" s="25">
        <f t="shared" si="176"/>
        <v>0</v>
      </c>
      <c r="I237" s="25">
        <f t="shared" si="176"/>
        <v>0</v>
      </c>
      <c r="J237" s="25">
        <f t="shared" si="176"/>
        <v>0</v>
      </c>
      <c r="K237" s="25">
        <f t="shared" si="176"/>
        <v>0</v>
      </c>
      <c r="M237" s="30"/>
    </row>
    <row r="238" spans="1:13" ht="11.25" hidden="1" customHeight="1" outlineLevel="2">
      <c r="A238" s="2" t="str">
        <f ca="1">OFFSET(Язык!$A$113,0,LANGUAGE)</f>
        <v xml:space="preserve">    --- // --- в незавершенном производстве</v>
      </c>
      <c r="B238" s="44">
        <f>NWC_T_Cycle</f>
        <v>0</v>
      </c>
      <c r="C238" s="6" t="str">
        <f ca="1">CHOOSE(B190,CUR_Main,CUR_Foreign)</f>
        <v>$</v>
      </c>
      <c r="D238" s="2" t="str">
        <f>TEXT(B190,"0")&amp;"_07"&amp;";int_end"</f>
        <v>1_07;int_end</v>
      </c>
      <c r="F238" s="26">
        <v>0</v>
      </c>
      <c r="G238" s="25">
        <f t="shared" ref="G238:J238" si="177">G236*$B238/PRJ_Step</f>
        <v>0</v>
      </c>
      <c r="H238" s="25">
        <f t="shared" si="177"/>
        <v>0</v>
      </c>
      <c r="I238" s="25">
        <f t="shared" si="177"/>
        <v>0</v>
      </c>
      <c r="J238" s="25">
        <f t="shared" si="177"/>
        <v>0</v>
      </c>
      <c r="K238" s="25">
        <f t="shared" ref="K238" si="178">K236*$B238/PRJ_Step</f>
        <v>0</v>
      </c>
      <c r="M238" s="30"/>
    </row>
    <row r="239" spans="1:13" ht="11.25" hidden="1" customHeight="1" outlineLevel="2">
      <c r="A239" s="2" t="str">
        <f ca="1">OFFSET(Язык!$A$114,0,LANGUAGE)</f>
        <v xml:space="preserve">    --- // --- потребление для производства</v>
      </c>
      <c r="C239" s="6" t="str">
        <f ca="1">CHOOSE(B190,CUR_Main,CUR_Foreign)</f>
        <v>$</v>
      </c>
      <c r="D239" s="2" t="str">
        <f>TEXT(B190,"0")&amp;"_08"</f>
        <v>1_08</v>
      </c>
      <c r="F239" s="26"/>
      <c r="G239" s="25">
        <f t="shared" ref="G239:K239" si="179">G236+G238-F238</f>
        <v>783482.14285714284</v>
      </c>
      <c r="H239" s="25">
        <f t="shared" si="179"/>
        <v>1723660.7142857141</v>
      </c>
      <c r="I239" s="25">
        <f t="shared" si="179"/>
        <v>1896026.7857142857</v>
      </c>
      <c r="J239" s="25">
        <f t="shared" si="179"/>
        <v>2085629.4642857143</v>
      </c>
      <c r="K239" s="25">
        <f t="shared" si="179"/>
        <v>2294192.4107142859</v>
      </c>
      <c r="M239" s="30">
        <f>SUM(G239:K239)</f>
        <v>8782991.5178571437</v>
      </c>
    </row>
    <row r="240" spans="1:13" ht="11.25" hidden="1" customHeight="1" outlineLevel="2">
      <c r="A240" s="2" t="str">
        <f ca="1">OFFSET(Язык!$A$115,0,LANGUAGE)</f>
        <v xml:space="preserve">    --- // --- минимальный запас</v>
      </c>
      <c r="B240" s="44">
        <f>NWC_T_Mat</f>
        <v>0</v>
      </c>
      <c r="C240" s="6" t="str">
        <f ca="1">CHOOSE(B190,CUR_Main,CUR_Foreign)</f>
        <v>$</v>
      </c>
      <c r="D240" s="2" t="s">
        <v>1736</v>
      </c>
      <c r="F240" s="26"/>
      <c r="G240" s="26">
        <f t="shared" ref="G240:J240" si="180">G239*$B240/PRJ_Step</f>
        <v>0</v>
      </c>
      <c r="H240" s="26">
        <f t="shared" si="180"/>
        <v>0</v>
      </c>
      <c r="I240" s="26">
        <f t="shared" si="180"/>
        <v>0</v>
      </c>
      <c r="J240" s="26">
        <f t="shared" si="180"/>
        <v>0</v>
      </c>
      <c r="K240" s="26">
        <f t="shared" ref="K240" si="181">K239*$B240/PRJ_Step</f>
        <v>0</v>
      </c>
      <c r="M240" s="30"/>
    </row>
    <row r="241" spans="1:13" ht="11.25" hidden="1" customHeight="1" outlineLevel="2">
      <c r="A241" s="2" t="str">
        <f ca="1">OFFSET(Язык!$A$116,0,LANGUAGE)</f>
        <v xml:space="preserve">    --- // --- фактические запасы</v>
      </c>
      <c r="C241" s="39" t="str">
        <f ca="1">CHOOSE(B190,CUR_Main,CUR_Foreign)</f>
        <v>$</v>
      </c>
      <c r="D241" s="2" t="str">
        <f>TEXT(B190,"0")&amp;"_09"&amp;";int_end"</f>
        <v>1_09;int_end</v>
      </c>
      <c r="F241" s="26">
        <v>0</v>
      </c>
      <c r="G241" s="26">
        <f t="shared" ref="G241:K241" si="182">F241+G242-G239</f>
        <v>0</v>
      </c>
      <c r="H241" s="26">
        <f t="shared" si="182"/>
        <v>0</v>
      </c>
      <c r="I241" s="26">
        <f t="shared" si="182"/>
        <v>0</v>
      </c>
      <c r="J241" s="26">
        <f t="shared" si="182"/>
        <v>0</v>
      </c>
      <c r="K241" s="26">
        <f t="shared" si="182"/>
        <v>0</v>
      </c>
      <c r="M241" s="30"/>
    </row>
    <row r="242" spans="1:13" ht="11.25" hidden="1" customHeight="1" outlineLevel="2">
      <c r="A242" s="43" t="str">
        <f ca="1">OFFSET(Язык!$A$117,0,LANGUAGE)</f>
        <v xml:space="preserve">    график закупок материалов и комплектующих</v>
      </c>
      <c r="B242" s="41"/>
      <c r="C242" s="42" t="str">
        <f ca="1">CHOOSE(B190,CUR_Main,CUR_Foreign)</f>
        <v>$</v>
      </c>
      <c r="D242" s="43" t="str">
        <f>TEXT(B190,"0")&amp;"_10"</f>
        <v>1_10</v>
      </c>
      <c r="E242" s="43"/>
      <c r="F242" s="46"/>
      <c r="G242" s="40">
        <f t="shared" ref="G242:K242" si="183">MAX(G239+G240-F241,0)</f>
        <v>783482.14285714284</v>
      </c>
      <c r="H242" s="40">
        <f t="shared" si="183"/>
        <v>1723660.7142857141</v>
      </c>
      <c r="I242" s="40">
        <f t="shared" si="183"/>
        <v>1896026.7857142857</v>
      </c>
      <c r="J242" s="40">
        <f t="shared" si="183"/>
        <v>2085629.4642857143</v>
      </c>
      <c r="K242" s="40">
        <f t="shared" si="183"/>
        <v>2294192.4107142859</v>
      </c>
      <c r="M242" s="30">
        <f>SUM(G242:K242)</f>
        <v>8782991.5178571437</v>
      </c>
    </row>
    <row r="243" spans="1:13" ht="11.25" hidden="1" customHeight="1" outlineLevel="2">
      <c r="A243" s="37" t="str">
        <f ca="1">OFFSET(Язык!$A$118,0,LANGUAGE)</f>
        <v xml:space="preserve">    график оплаты материалов и комплектующих:</v>
      </c>
      <c r="B243" s="49" t="str">
        <f ca="1">OFFSET(Язык!$A$99,0,LANGUAGE)</f>
        <v>доля</v>
      </c>
      <c r="C243" s="49" t="str">
        <f ca="1">OFFSET(Язык!$A$100,0,LANGUAGE)</f>
        <v>срок</v>
      </c>
      <c r="F243" s="26"/>
      <c r="G243" s="26"/>
      <c r="H243" s="26"/>
      <c r="I243" s="26"/>
      <c r="J243" s="26"/>
      <c r="K243" s="26"/>
      <c r="M243" s="30"/>
    </row>
    <row r="244" spans="1:13" ht="11.25" hidden="1" customHeight="1" outlineLevel="2">
      <c r="A244" s="2" t="str">
        <f ca="1">OFFSET(Язык!$A$119,0,LANGUAGE)</f>
        <v xml:space="preserve">    немедленная оплата</v>
      </c>
      <c r="B244" s="97">
        <f>1-B245-B246</f>
        <v>1</v>
      </c>
      <c r="C244" s="12" t="s">
        <v>2042</v>
      </c>
      <c r="D244" s="2" t="str">
        <f>TEXT(B190,"0")&amp;"_11"</f>
        <v>1_11</v>
      </c>
      <c r="F244" s="26"/>
      <c r="G244" s="26">
        <f t="shared" ref="G244:J244" si="184">G242*$B244</f>
        <v>783482.14285714284</v>
      </c>
      <c r="H244" s="26">
        <f t="shared" si="184"/>
        <v>1723660.7142857141</v>
      </c>
      <c r="I244" s="26">
        <f t="shared" si="184"/>
        <v>1896026.7857142857</v>
      </c>
      <c r="J244" s="26">
        <f t="shared" si="184"/>
        <v>2085629.4642857143</v>
      </c>
      <c r="K244" s="26">
        <f t="shared" ref="K244" si="185">K242*$B244</f>
        <v>2294192.4107142859</v>
      </c>
      <c r="M244" s="30">
        <f>SUM(G244:K244)</f>
        <v>8782991.5178571437</v>
      </c>
    </row>
    <row r="245" spans="1:13" ht="11.25" hidden="1" customHeight="1" outlineLevel="2">
      <c r="A245" s="2" t="str">
        <f ca="1">OFFSET(Язык!$A$120,0,LANGUAGE)</f>
        <v xml:space="preserve">    авансовая оплата</v>
      </c>
      <c r="B245" s="98">
        <f>NWC_T_Cr_AdvK</f>
        <v>0</v>
      </c>
      <c r="C245" s="99">
        <f>NWC_T_Cr_AdvT</f>
        <v>0</v>
      </c>
      <c r="D245" s="2" t="str">
        <f>TEXT(B190,"0")&amp;"_12"</f>
        <v>1_12</v>
      </c>
      <c r="E245" s="2">
        <f>INT(C245/PRJ_Step)</f>
        <v>0</v>
      </c>
      <c r="F245" s="26">
        <f t="shared" ref="F245:J245" ca="1" si="186">IF((F$27+$E245)&lt;=PRJ_Len,OFFSET(F242,0,$E245)*$B245,0)</f>
        <v>0</v>
      </c>
      <c r="G245" s="26">
        <f t="shared" ca="1" si="186"/>
        <v>0</v>
      </c>
      <c r="H245" s="26">
        <f t="shared" ca="1" si="186"/>
        <v>0</v>
      </c>
      <c r="I245" s="26">
        <f t="shared" ca="1" si="186"/>
        <v>0</v>
      </c>
      <c r="J245" s="26">
        <f t="shared" ca="1" si="186"/>
        <v>0</v>
      </c>
      <c r="K245" s="26">
        <f t="shared" ref="K245" ca="1" si="187">IF((K$27+$E245)&lt;=PRJ_Len,OFFSET(K242,0,$E245)*$B245,0)</f>
        <v>0</v>
      </c>
      <c r="M245" s="30">
        <f ca="1">SUM(G245:K245)</f>
        <v>0</v>
      </c>
    </row>
    <row r="246" spans="1:13" ht="11.25" hidden="1" customHeight="1" outlineLevel="2">
      <c r="A246" s="2" t="str">
        <f ca="1">OFFSET(Язык!$A$121,0,LANGUAGE)</f>
        <v xml:space="preserve">    оплата в кредит</v>
      </c>
      <c r="B246" s="98">
        <f>NWC_T_Cr_CrdK</f>
        <v>0</v>
      </c>
      <c r="C246" s="99">
        <f>NWC_T_Cr_CrdT</f>
        <v>0</v>
      </c>
      <c r="D246" s="2" t="str">
        <f>TEXT(B190,"0")&amp;"_13"</f>
        <v>1_13</v>
      </c>
      <c r="E246" s="2">
        <f>INT(C246/PRJ_Step)</f>
        <v>0</v>
      </c>
      <c r="F246" s="26">
        <f t="shared" ref="F246:J246" ca="1" si="188">IF((F$27-$E246)&gt;=1,OFFSET(F242,0,-$E246)*$B246,0)</f>
        <v>0</v>
      </c>
      <c r="G246" s="26">
        <f t="shared" ca="1" si="188"/>
        <v>0</v>
      </c>
      <c r="H246" s="26">
        <f t="shared" ca="1" si="188"/>
        <v>0</v>
      </c>
      <c r="I246" s="26">
        <f t="shared" ca="1" si="188"/>
        <v>0</v>
      </c>
      <c r="J246" s="26">
        <f t="shared" ca="1" si="188"/>
        <v>0</v>
      </c>
      <c r="K246" s="26">
        <f t="shared" ref="K246" ca="1" si="189">IF((K$27-$E246)&gt;=1,OFFSET(K242,0,-$E246)*$B246,0)</f>
        <v>0</v>
      </c>
      <c r="M246" s="30">
        <f ca="1">SUM(G246:K246)</f>
        <v>0</v>
      </c>
    </row>
    <row r="247" spans="1:13" ht="11.25" hidden="1" customHeight="1" outlineLevel="2">
      <c r="A247" s="2" t="str">
        <f ca="1">OFFSET(Язык!$A$122,0,LANGUAGE)</f>
        <v xml:space="preserve">    суммарные выплаты за материалы (без НДС)</v>
      </c>
      <c r="C247" s="6" t="str">
        <f ca="1">CHOOSE(B190,CUR_Main,CUR_Foreign)</f>
        <v>$</v>
      </c>
      <c r="D247" s="2" t="str">
        <f>TEXT(B190,"0")&amp;"_14"</f>
        <v>1_14</v>
      </c>
      <c r="F247" s="26">
        <f t="shared" ref="F247:J247" ca="1" si="190">SUM(F244:F246)</f>
        <v>0</v>
      </c>
      <c r="G247" s="26">
        <f t="shared" ca="1" si="190"/>
        <v>783482.14285714284</v>
      </c>
      <c r="H247" s="26">
        <f t="shared" ca="1" si="190"/>
        <v>1723660.7142857141</v>
      </c>
      <c r="I247" s="26">
        <f t="shared" ca="1" si="190"/>
        <v>1896026.7857142857</v>
      </c>
      <c r="J247" s="26">
        <f t="shared" ca="1" si="190"/>
        <v>2085629.4642857143</v>
      </c>
      <c r="K247" s="26">
        <f t="shared" ref="K247" ca="1" si="191">SUM(K244:K246)</f>
        <v>2294192.4107142859</v>
      </c>
      <c r="M247" s="30">
        <f ca="1">SUM(G247:K247)</f>
        <v>8782991.5178571437</v>
      </c>
    </row>
    <row r="248" spans="1:13" ht="11.25" hidden="1" customHeight="1" outlineLevel="2">
      <c r="A248" s="2" t="str">
        <f ca="1">OFFSET(Язык!$A$123,0,LANGUAGE)</f>
        <v xml:space="preserve">    уплачено НДС</v>
      </c>
      <c r="B248" s="24">
        <f>VAT</f>
        <v>0.12</v>
      </c>
      <c r="C248" s="6" t="str">
        <f ca="1">CHOOSE(B190,CUR_Main,CUR_Foreign)</f>
        <v>$</v>
      </c>
      <c r="D248" s="2" t="str">
        <f>TEXT(B190,"0")&amp;"_15"</f>
        <v>1_15</v>
      </c>
      <c r="F248" s="26">
        <f t="shared" ref="F248:J248" ca="1" si="192">F247*$B248</f>
        <v>0</v>
      </c>
      <c r="G248" s="26">
        <f t="shared" ca="1" si="192"/>
        <v>94017.85714285713</v>
      </c>
      <c r="H248" s="26">
        <f t="shared" ca="1" si="192"/>
        <v>206839.28571428568</v>
      </c>
      <c r="I248" s="26">
        <f t="shared" ca="1" si="192"/>
        <v>227523.21428571426</v>
      </c>
      <c r="J248" s="26">
        <f t="shared" ca="1" si="192"/>
        <v>250275.53571428571</v>
      </c>
      <c r="K248" s="26">
        <f t="shared" ref="K248" ca="1" si="193">K247*$B248</f>
        <v>275303.08928571432</v>
      </c>
      <c r="M248" s="30">
        <f ca="1">SUM(G248:K248)</f>
        <v>1053958.982142857</v>
      </c>
    </row>
    <row r="249" spans="1:13" ht="11.25" hidden="1" customHeight="1" outlineLevel="2">
      <c r="A249" s="2" t="str">
        <f ca="1">OFFSET(Язык!$A$124,0,LANGUAGE)</f>
        <v xml:space="preserve">    авансы в обороте в течение периода</v>
      </c>
      <c r="C249" s="6" t="str">
        <f ca="1">CHOOSE(B190,CUR_Main,CUR_Foreign)</f>
        <v>$</v>
      </c>
      <c r="D249" s="2" t="str">
        <f>TEXT(B190,"0")&amp;"_16"&amp;";int_end"</f>
        <v>1_16;int_end</v>
      </c>
      <c r="E249" s="2">
        <f>C245-E245*PRJ_Step</f>
        <v>0</v>
      </c>
      <c r="F249" s="26">
        <f t="shared" ref="F249:J249" si="194">F242*$B245*$E249/PRJ_Step</f>
        <v>0</v>
      </c>
      <c r="G249" s="26">
        <f t="shared" si="194"/>
        <v>0</v>
      </c>
      <c r="H249" s="26">
        <f t="shared" si="194"/>
        <v>0</v>
      </c>
      <c r="I249" s="26">
        <f t="shared" si="194"/>
        <v>0</v>
      </c>
      <c r="J249" s="26">
        <f t="shared" si="194"/>
        <v>0</v>
      </c>
      <c r="K249" s="26">
        <f t="shared" ref="K249" si="195">K242*$B245*$E249/PRJ_Step</f>
        <v>0</v>
      </c>
      <c r="M249" s="30"/>
    </row>
    <row r="250" spans="1:13" ht="11.25" hidden="1" customHeight="1" outlineLevel="2">
      <c r="A250" s="2" t="str">
        <f ca="1">OFFSET(Язык!$A$125,0,LANGUAGE)</f>
        <v xml:space="preserve">    авансы, переходящие в следующий период</v>
      </c>
      <c r="C250" s="6" t="str">
        <f ca="1">CHOOSE(B190,CUR_Main,CUR_Foreign)</f>
        <v>$</v>
      </c>
      <c r="D250" s="2" t="str">
        <f>TEXT(B190,"0")&amp;"_17"&amp;";int_end"</f>
        <v>1_17;int_end</v>
      </c>
      <c r="F250" s="26">
        <f t="shared" ref="F250:K250" ca="1" si="196">E250+F245-F242*$B245</f>
        <v>0</v>
      </c>
      <c r="G250" s="26">
        <f t="shared" ca="1" si="196"/>
        <v>0</v>
      </c>
      <c r="H250" s="26">
        <f t="shared" ca="1" si="196"/>
        <v>0</v>
      </c>
      <c r="I250" s="26">
        <f t="shared" ca="1" si="196"/>
        <v>0</v>
      </c>
      <c r="J250" s="26">
        <f t="shared" ca="1" si="196"/>
        <v>0</v>
      </c>
      <c r="K250" s="26">
        <f t="shared" ca="1" si="196"/>
        <v>0</v>
      </c>
      <c r="M250" s="30"/>
    </row>
    <row r="251" spans="1:13" ht="11.25" hidden="1" customHeight="1" outlineLevel="2">
      <c r="A251" s="2" t="str">
        <f ca="1">OFFSET(Язык!$A$126,0,LANGUAGE)</f>
        <v xml:space="preserve">    кредиторская задолж.  в обороте в течение периода</v>
      </c>
      <c r="C251" s="6" t="str">
        <f ca="1">CHOOSE(B190,CUR_Main,CUR_Foreign)</f>
        <v>$</v>
      </c>
      <c r="D251" s="2" t="str">
        <f>TEXT(B190,"0")&amp;"_18"&amp;";int_end"</f>
        <v>1_18;int_end</v>
      </c>
      <c r="E251" s="2">
        <f>C246-E246*PRJ_Step</f>
        <v>0</v>
      </c>
      <c r="F251" s="26">
        <f t="shared" ref="F251:J251" si="197">F242*$B246*$E251/PRJ_Step</f>
        <v>0</v>
      </c>
      <c r="G251" s="26">
        <f t="shared" si="197"/>
        <v>0</v>
      </c>
      <c r="H251" s="26">
        <f t="shared" si="197"/>
        <v>0</v>
      </c>
      <c r="I251" s="26">
        <f t="shared" si="197"/>
        <v>0</v>
      </c>
      <c r="J251" s="26">
        <f t="shared" si="197"/>
        <v>0</v>
      </c>
      <c r="K251" s="26">
        <f t="shared" ref="K251" si="198">K242*$B246*$E251/PRJ_Step</f>
        <v>0</v>
      </c>
      <c r="M251" s="30"/>
    </row>
    <row r="252" spans="1:13" ht="11.25" hidden="1" customHeight="1" outlineLevel="2">
      <c r="A252" s="2" t="str">
        <f ca="1">OFFSET(Язык!$A$127,0,LANGUAGE)</f>
        <v xml:space="preserve">    кредиторская задолж., переходящая в след. период</v>
      </c>
      <c r="C252" s="6" t="str">
        <f ca="1">CHOOSE(B190,CUR_Main,CUR_Foreign)</f>
        <v>$</v>
      </c>
      <c r="D252" s="2" t="str">
        <f>TEXT(B190,"0")&amp;"_19"&amp;";int_end"</f>
        <v>1_19;int_end</v>
      </c>
      <c r="F252" s="26">
        <f t="shared" ref="F252:K252" ca="1" si="199">E252+F242*$B246-F246</f>
        <v>0</v>
      </c>
      <c r="G252" s="26">
        <f t="shared" ca="1" si="199"/>
        <v>0</v>
      </c>
      <c r="H252" s="26">
        <f t="shared" ca="1" si="199"/>
        <v>0</v>
      </c>
      <c r="I252" s="26">
        <f t="shared" ca="1" si="199"/>
        <v>0</v>
      </c>
      <c r="J252" s="26">
        <f t="shared" ca="1" si="199"/>
        <v>0</v>
      </c>
      <c r="K252" s="26">
        <f t="shared" ca="1" si="199"/>
        <v>0</v>
      </c>
      <c r="M252" s="30"/>
    </row>
    <row r="253" spans="1:13" outlineLevel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30"/>
    </row>
    <row r="254" spans="1:13" outlineLevel="1" collapsed="1">
      <c r="A254" s="32" t="str">
        <f ca="1">OFFSET(Язык!$A$98,0,LANGUAGE)</f>
        <v xml:space="preserve"> = Итого</v>
      </c>
      <c r="B254" s="63"/>
      <c r="C254" s="63" t="str">
        <f t="shared" ref="C254:C264" ca="1" si="200">CUR_Main</f>
        <v>$</v>
      </c>
      <c r="D254" s="32"/>
      <c r="E254" s="32"/>
      <c r="F254" s="62"/>
      <c r="G254" s="62">
        <f t="shared" ref="G254:J254" ca="1" si="201">SUMIF($D201:$D254,"*1_00*",G201:G254)+SUMIF($D201:$D254,"*2_00*",G201:G254)*G$98</f>
        <v>1462500</v>
      </c>
      <c r="H254" s="62">
        <f t="shared" ca="1" si="201"/>
        <v>3217499.9999999995</v>
      </c>
      <c r="I254" s="62">
        <f t="shared" ca="1" si="201"/>
        <v>3539250</v>
      </c>
      <c r="J254" s="62">
        <f t="shared" ca="1" si="201"/>
        <v>3893175</v>
      </c>
      <c r="K254" s="62">
        <f t="shared" ref="K254" ca="1" si="202">SUMIF($D201:$D254,"*1_00*",K201:K254)+SUMIF($D201:$D254,"*2_00*",K201:K254)*K$98</f>
        <v>4282492.5</v>
      </c>
      <c r="L254" s="32"/>
      <c r="M254" s="27">
        <f ca="1">SUM(G254:K254)</f>
        <v>16394917.5</v>
      </c>
    </row>
    <row r="255" spans="1:13" ht="12.75" hidden="1" outlineLevel="2" thickTop="1" thickBot="1">
      <c r="A255" s="2" t="str">
        <f ca="1">OFFSET(Язык!$A$107,0,LANGUAGE)</f>
        <v xml:space="preserve">    сдельная зарплата: в себестоимости</v>
      </c>
      <c r="C255" s="6" t="str">
        <f t="shared" ca="1" si="200"/>
        <v>$</v>
      </c>
      <c r="F255" s="26"/>
      <c r="G255" s="26">
        <f t="shared" ref="G255:J255" si="203">SUMIF($D201:$D254,"*1_01*",G201:G254)+SUMIF($D201:$D254,"*2_01*",G201:G254)*G$98</f>
        <v>0</v>
      </c>
      <c r="H255" s="26">
        <f t="shared" si="203"/>
        <v>0</v>
      </c>
      <c r="I255" s="26">
        <f t="shared" si="203"/>
        <v>0</v>
      </c>
      <c r="J255" s="26">
        <f t="shared" si="203"/>
        <v>0</v>
      </c>
      <c r="K255" s="26">
        <f t="shared" ref="K255" si="204">SUMIF($D201:$D254,"*1_01*",K201:K254)+SUMIF($D201:$D254,"*2_01*",K201:K254)*K$98</f>
        <v>0</v>
      </c>
      <c r="M255" s="30">
        <f>SUM(G255:K255)</f>
        <v>0</v>
      </c>
    </row>
    <row r="256" spans="1:13" ht="12.75" hidden="1" outlineLevel="2" thickTop="1" thickBot="1">
      <c r="A256" s="2" t="str">
        <f ca="1">OFFSET(Язык!$A$108,0,LANGUAGE)</f>
        <v xml:space="preserve">    --- // --- начисленная за завершенную продукцию</v>
      </c>
      <c r="C256" s="6" t="str">
        <f t="shared" ca="1" si="200"/>
        <v>$</v>
      </c>
      <c r="F256" s="26"/>
      <c r="G256" s="26">
        <f t="shared" ref="G256:J256" si="205">SUMIF($D201:$D254,"*1_02*",G201:G254)+SUMIF($D201:$D254,"*2_02*",G201:G254)*G$98</f>
        <v>0</v>
      </c>
      <c r="H256" s="26">
        <f t="shared" si="205"/>
        <v>0</v>
      </c>
      <c r="I256" s="26">
        <f t="shared" si="205"/>
        <v>0</v>
      </c>
      <c r="J256" s="26">
        <f t="shared" si="205"/>
        <v>0</v>
      </c>
      <c r="K256" s="26">
        <f t="shared" ref="K256" si="206">SUMIF($D201:$D254,"*1_02*",K201:K254)+SUMIF($D201:$D254,"*2_02*",K201:K254)*K$98</f>
        <v>0</v>
      </c>
      <c r="M256" s="30">
        <f>SUM(G256:K256)</f>
        <v>0</v>
      </c>
    </row>
    <row r="257" spans="1:13" ht="12.75" hidden="1" outlineLevel="2" thickTop="1" thickBot="1">
      <c r="A257" s="43" t="str">
        <f ca="1">OFFSET(Язык!$A$109,0,LANGUAGE)</f>
        <v xml:space="preserve">    --- // --- учтенная в запасах готовой продукции</v>
      </c>
      <c r="B257" s="41"/>
      <c r="C257" s="41" t="str">
        <f t="shared" ca="1" si="200"/>
        <v>$</v>
      </c>
      <c r="D257" s="43" t="s">
        <v>1736</v>
      </c>
      <c r="E257" s="43"/>
      <c r="F257" s="46"/>
      <c r="G257" s="26">
        <f t="shared" ref="G257:J257" si="207">SUMIF($D201:$D254,"*1_03*",G201:G254)+SUMIF($D201:$D254,"*2_03*",G201:G254)*G$98</f>
        <v>0</v>
      </c>
      <c r="H257" s="26">
        <f t="shared" si="207"/>
        <v>0</v>
      </c>
      <c r="I257" s="26">
        <f t="shared" si="207"/>
        <v>0</v>
      </c>
      <c r="J257" s="26">
        <f t="shared" si="207"/>
        <v>0</v>
      </c>
      <c r="K257" s="26">
        <f t="shared" ref="K257" si="208">SUMIF($D201:$D254,"*1_03*",K201:K254)+SUMIF($D201:$D254,"*2_03*",K201:K254)*K$98</f>
        <v>0</v>
      </c>
      <c r="M257" s="30"/>
    </row>
    <row r="258" spans="1:13" ht="12.75" hidden="1" outlineLevel="2" thickTop="1" thickBot="1">
      <c r="A258" s="2" t="str">
        <f ca="1">OFFSET(Язык!$A$110,0,LANGUAGE)</f>
        <v xml:space="preserve">    материалы: истрачено в проданных продуктах</v>
      </c>
      <c r="C258" s="6" t="str">
        <f t="shared" ca="1" si="200"/>
        <v>$</v>
      </c>
      <c r="F258" s="26"/>
      <c r="G258" s="26">
        <f t="shared" ref="G258:J258" si="209">SUMIF($D201:$D254,"*1_04*",G201:G254)+SUMIF($D201:$D254,"*2_04*",G201:G254)*G$98</f>
        <v>1305803.5714285714</v>
      </c>
      <c r="H258" s="26">
        <f t="shared" si="209"/>
        <v>2872767.8571428568</v>
      </c>
      <c r="I258" s="26">
        <f t="shared" si="209"/>
        <v>3160044.6428571427</v>
      </c>
      <c r="J258" s="26">
        <f t="shared" si="209"/>
        <v>3476049.1071428573</v>
      </c>
      <c r="K258" s="26">
        <f t="shared" ref="K258" si="210">SUMIF($D201:$D254,"*1_04*",K201:K254)+SUMIF($D201:$D254,"*2_04*",K201:K254)*K$98</f>
        <v>3823654.0178571437</v>
      </c>
      <c r="M258" s="30">
        <f>SUM(G258:K258)</f>
        <v>14638319.196428573</v>
      </c>
    </row>
    <row r="259" spans="1:13" ht="12.75" hidden="1" outlineLevel="2" thickTop="1" thickBot="1">
      <c r="A259" s="2" t="str">
        <f ca="1">OFFSET(Язык!$A$111,0,LANGUAGE)</f>
        <v xml:space="preserve">    --- // --- истрачено в произведенных продуктах</v>
      </c>
      <c r="C259" s="6" t="str">
        <f t="shared" ca="1" si="200"/>
        <v>$</v>
      </c>
      <c r="F259" s="26"/>
      <c r="G259" s="26">
        <f t="shared" ref="G259:J259" si="211">SUMIF($D201:$D254,"*1_05*",G201:G254)+SUMIF($D201:$D254,"*2_05*",G201:G254)*G$98</f>
        <v>1305803.5714285714</v>
      </c>
      <c r="H259" s="26">
        <f t="shared" si="211"/>
        <v>2872767.8571428568</v>
      </c>
      <c r="I259" s="26">
        <f t="shared" si="211"/>
        <v>3160044.6428571427</v>
      </c>
      <c r="J259" s="26">
        <f t="shared" si="211"/>
        <v>3476049.1071428573</v>
      </c>
      <c r="K259" s="26">
        <f t="shared" ref="K259" si="212">SUMIF($D201:$D254,"*1_05*",K201:K254)+SUMIF($D201:$D254,"*2_05*",K201:K254)*K$98</f>
        <v>3823654.0178571437</v>
      </c>
      <c r="M259" s="30">
        <f>SUM(G259:K259)</f>
        <v>14638319.196428573</v>
      </c>
    </row>
    <row r="260" spans="1:13" ht="12.75" hidden="1" outlineLevel="2" thickTop="1" thickBot="1">
      <c r="A260" s="2" t="str">
        <f ca="1">OFFSET(Язык!$A$112,0,LANGUAGE)</f>
        <v xml:space="preserve">    --- // --- стоимость в запасах готовой продукции</v>
      </c>
      <c r="C260" s="6" t="str">
        <f t="shared" ca="1" si="200"/>
        <v>$</v>
      </c>
      <c r="D260" s="2" t="s">
        <v>1736</v>
      </c>
      <c r="F260" s="26"/>
      <c r="G260" s="26">
        <f t="shared" ref="G260:J260" si="213">SUMIF($D201:$D254,"*1_06*",G201:G254)+SUMIF($D201:$D254,"*2_06*",G201:G254)*G$98</f>
        <v>0</v>
      </c>
      <c r="H260" s="26">
        <f t="shared" si="213"/>
        <v>0</v>
      </c>
      <c r="I260" s="26">
        <f t="shared" si="213"/>
        <v>0</v>
      </c>
      <c r="J260" s="26">
        <f t="shared" si="213"/>
        <v>0</v>
      </c>
      <c r="K260" s="26">
        <f t="shared" ref="K260" si="214">SUMIF($D201:$D254,"*1_06*",K201:K254)+SUMIF($D201:$D254,"*2_06*",K201:K254)*K$98</f>
        <v>0</v>
      </c>
      <c r="M260" s="30"/>
    </row>
    <row r="261" spans="1:13" ht="12.75" hidden="1" outlineLevel="2" thickTop="1" thickBot="1">
      <c r="A261" s="2" t="str">
        <f ca="1">OFFSET(Язык!$A$113,0,LANGUAGE)</f>
        <v xml:space="preserve">    --- // --- в незавершенном производстве</v>
      </c>
      <c r="C261" s="6" t="str">
        <f t="shared" ca="1" si="200"/>
        <v>$</v>
      </c>
      <c r="D261" s="2" t="s">
        <v>1736</v>
      </c>
      <c r="F261" s="26"/>
      <c r="G261" s="26">
        <f t="shared" ref="G261:J261" si="215">SUMIF($D201:$D254,"*1_07*",G201:G254)+SUMIF($D201:$D254,"*2_07*",G201:G254)*G$98</f>
        <v>0</v>
      </c>
      <c r="H261" s="26">
        <f t="shared" si="215"/>
        <v>0</v>
      </c>
      <c r="I261" s="26">
        <f t="shared" si="215"/>
        <v>0</v>
      </c>
      <c r="J261" s="26">
        <f t="shared" si="215"/>
        <v>0</v>
      </c>
      <c r="K261" s="26">
        <f t="shared" ref="K261" si="216">SUMIF($D201:$D254,"*1_07*",K201:K254)+SUMIF($D201:$D254,"*2_07*",K201:K254)*K$98</f>
        <v>0</v>
      </c>
      <c r="M261" s="30"/>
    </row>
    <row r="262" spans="1:13" ht="12.75" hidden="1" outlineLevel="2" thickTop="1" thickBot="1">
      <c r="A262" s="2" t="str">
        <f ca="1">OFFSET(Язык!$A$114,0,LANGUAGE)</f>
        <v xml:space="preserve">    --- // --- потребление для производства</v>
      </c>
      <c r="C262" s="6" t="str">
        <f t="shared" ca="1" si="200"/>
        <v>$</v>
      </c>
      <c r="F262" s="26"/>
      <c r="G262" s="26">
        <f t="shared" ref="G262:J262" si="217">SUMIF($D201:$D254,"*1_08*",G201:G254)+SUMIF($D201:$D254,"*2_08*",G201:G254)*G$98</f>
        <v>1305803.5714285714</v>
      </c>
      <c r="H262" s="26">
        <f t="shared" si="217"/>
        <v>2872767.8571428568</v>
      </c>
      <c r="I262" s="26">
        <f t="shared" si="217"/>
        <v>3160044.6428571427</v>
      </c>
      <c r="J262" s="26">
        <f t="shared" si="217"/>
        <v>3476049.1071428573</v>
      </c>
      <c r="K262" s="26">
        <f t="shared" ref="K262" si="218">SUMIF($D201:$D254,"*1_08*",K201:K254)+SUMIF($D201:$D254,"*2_08*",K201:K254)*K$98</f>
        <v>3823654.0178571437</v>
      </c>
      <c r="M262" s="30">
        <f>SUM(G262:K262)</f>
        <v>14638319.196428573</v>
      </c>
    </row>
    <row r="263" spans="1:13" ht="12.75" hidden="1" outlineLevel="2" thickTop="1" thickBot="1">
      <c r="A263" s="2" t="str">
        <f ca="1">OFFSET(Язык!$A$116,0,LANGUAGE)</f>
        <v xml:space="preserve">    --- // --- фактические запасы</v>
      </c>
      <c r="C263" s="6" t="str">
        <f t="shared" ca="1" si="200"/>
        <v>$</v>
      </c>
      <c r="D263" s="2" t="s">
        <v>1736</v>
      </c>
      <c r="F263" s="26"/>
      <c r="G263" s="26">
        <f t="shared" ref="G263:J263" si="219">SUMIF($D201:$D254,"*1_09*",G201:G254)+SUMIF($D201:$D254,"*2_09*",G201:G254)*G$98</f>
        <v>0</v>
      </c>
      <c r="H263" s="26">
        <f t="shared" si="219"/>
        <v>0</v>
      </c>
      <c r="I263" s="26">
        <f t="shared" si="219"/>
        <v>0</v>
      </c>
      <c r="J263" s="26">
        <f t="shared" si="219"/>
        <v>0</v>
      </c>
      <c r="K263" s="26">
        <f t="shared" ref="K263" si="220">SUMIF($D201:$D254,"*1_09*",K201:K254)+SUMIF($D201:$D254,"*2_09*",K201:K254)*K$98</f>
        <v>0</v>
      </c>
      <c r="M263" s="30"/>
    </row>
    <row r="264" spans="1:13" ht="12.75" hidden="1" outlineLevel="2" thickTop="1" thickBot="1">
      <c r="A264" s="43" t="str">
        <f ca="1">OFFSET(Язык!$A$117,0,LANGUAGE)</f>
        <v xml:space="preserve">    график закупок материалов и комплектующих</v>
      </c>
      <c r="B264" s="41"/>
      <c r="C264" s="41" t="str">
        <f t="shared" ca="1" si="200"/>
        <v>$</v>
      </c>
      <c r="D264" s="43"/>
      <c r="E264" s="43"/>
      <c r="F264" s="46"/>
      <c r="G264" s="26">
        <f t="shared" ref="G264:J264" si="221">SUMIF($D201:$D254,"*1_10*",G201:G254)+SUMIF($D201:$D254,"*2_10*",G201:G254)*G$98</f>
        <v>1305803.5714285714</v>
      </c>
      <c r="H264" s="26">
        <f t="shared" si="221"/>
        <v>2872767.8571428568</v>
      </c>
      <c r="I264" s="26">
        <f t="shared" si="221"/>
        <v>3160044.6428571427</v>
      </c>
      <c r="J264" s="26">
        <f t="shared" si="221"/>
        <v>3476049.1071428573</v>
      </c>
      <c r="K264" s="26">
        <f t="shared" ref="K264" si="222">SUMIF($D201:$D254,"*1_10*",K201:K254)+SUMIF($D201:$D254,"*2_10*",K201:K254)*K$98</f>
        <v>3823654.0178571437</v>
      </c>
      <c r="M264" s="30">
        <f>SUM(G264:K264)</f>
        <v>14638319.196428573</v>
      </c>
    </row>
    <row r="265" spans="1:13" ht="12.75" hidden="1" outlineLevel="2" thickTop="1" thickBot="1">
      <c r="A265" s="37" t="str">
        <f ca="1">OFFSET(Язык!$A$118,0,LANGUAGE)</f>
        <v xml:space="preserve">    график оплаты материалов и комплектующих:</v>
      </c>
      <c r="B265" s="29"/>
      <c r="F265" s="26"/>
      <c r="G265" s="26"/>
      <c r="H265" s="26"/>
      <c r="I265" s="26"/>
      <c r="J265" s="26"/>
      <c r="K265" s="26"/>
      <c r="M265" s="30"/>
    </row>
    <row r="266" spans="1:13" ht="12.75" hidden="1" outlineLevel="2" thickTop="1" thickBot="1">
      <c r="A266" s="2" t="str">
        <f ca="1">OFFSET(Язык!$A$119,0,LANGUAGE)</f>
        <v xml:space="preserve">    немедленная оплата</v>
      </c>
      <c r="C266" s="6" t="str">
        <f t="shared" ref="C266:C274" ca="1" si="223">CUR_Main</f>
        <v>$</v>
      </c>
      <c r="F266" s="26">
        <f t="shared" ref="F266:J266" si="224">SUMIF($D201:$D254,"*1_11*",F201:F254)+SUMIF($D201:$D254,"*2_11*",F201:F254)*F$98</f>
        <v>0</v>
      </c>
      <c r="G266" s="26">
        <f t="shared" si="224"/>
        <v>1305803.5714285714</v>
      </c>
      <c r="H266" s="26">
        <f t="shared" si="224"/>
        <v>2872767.8571428568</v>
      </c>
      <c r="I266" s="26">
        <f t="shared" si="224"/>
        <v>3160044.6428571427</v>
      </c>
      <c r="J266" s="26">
        <f t="shared" si="224"/>
        <v>3476049.1071428573</v>
      </c>
      <c r="K266" s="26">
        <f t="shared" ref="K266" si="225">SUMIF($D201:$D254,"*1_11*",K201:K254)+SUMIF($D201:$D254,"*2_11*",K201:K254)*K$98</f>
        <v>3823654.0178571437</v>
      </c>
      <c r="M266" s="30">
        <f>SUM(G266:K266)</f>
        <v>14638319.196428573</v>
      </c>
    </row>
    <row r="267" spans="1:13" ht="12.75" hidden="1" outlineLevel="2" thickTop="1" thickBot="1">
      <c r="A267" s="2" t="str">
        <f ca="1">OFFSET(Язык!$A$120,0,LANGUAGE)</f>
        <v xml:space="preserve">    авансовая оплата</v>
      </c>
      <c r="C267" s="6" t="str">
        <f t="shared" ca="1" si="223"/>
        <v>$</v>
      </c>
      <c r="F267" s="26">
        <f t="shared" ref="F267:J267" ca="1" si="226">SUMIF($D201:$D254,"*1_12*",F201:F254)+SUMIF($D201:$D254,"*2_12*",F201:F254)*F$98</f>
        <v>0</v>
      </c>
      <c r="G267" s="26">
        <f t="shared" ca="1" si="226"/>
        <v>0</v>
      </c>
      <c r="H267" s="26">
        <f t="shared" ca="1" si="226"/>
        <v>0</v>
      </c>
      <c r="I267" s="26">
        <f t="shared" ca="1" si="226"/>
        <v>0</v>
      </c>
      <c r="J267" s="26">
        <f t="shared" ca="1" si="226"/>
        <v>0</v>
      </c>
      <c r="K267" s="26">
        <f t="shared" ref="K267" ca="1" si="227">SUMIF($D201:$D254,"*1_12*",K201:K254)+SUMIF($D201:$D254,"*2_12*",K201:K254)*K$98</f>
        <v>0</v>
      </c>
      <c r="M267" s="30">
        <f ca="1">SUM(G267:K267)</f>
        <v>0</v>
      </c>
    </row>
    <row r="268" spans="1:13" ht="12.75" hidden="1" outlineLevel="2" thickTop="1" thickBot="1">
      <c r="A268" s="2" t="str">
        <f ca="1">OFFSET(Язык!$A$121,0,LANGUAGE)</f>
        <v xml:space="preserve">    оплата в кредит</v>
      </c>
      <c r="C268" s="6" t="str">
        <f t="shared" ca="1" si="223"/>
        <v>$</v>
      </c>
      <c r="F268" s="26">
        <f t="shared" ref="F268:J268" ca="1" si="228">SUMIF($D201:$D254,"*1_13*",F201:F254)+SUMIF($D201:$D254,"*2_13*",F201:F254)*F$98</f>
        <v>0</v>
      </c>
      <c r="G268" s="26">
        <f t="shared" ca="1" si="228"/>
        <v>0</v>
      </c>
      <c r="H268" s="26">
        <f t="shared" ca="1" si="228"/>
        <v>0</v>
      </c>
      <c r="I268" s="26">
        <f t="shared" ca="1" si="228"/>
        <v>0</v>
      </c>
      <c r="J268" s="26">
        <f t="shared" ca="1" si="228"/>
        <v>0</v>
      </c>
      <c r="K268" s="26">
        <f t="shared" ref="K268" ca="1" si="229">SUMIF($D201:$D254,"*1_13*",K201:K254)+SUMIF($D201:$D254,"*2_13*",K201:K254)*K$98</f>
        <v>0</v>
      </c>
      <c r="M268" s="30">
        <f ca="1">SUM(G268:K268)</f>
        <v>0</v>
      </c>
    </row>
    <row r="269" spans="1:13" ht="12.75" hidden="1" outlineLevel="2" thickTop="1" thickBot="1">
      <c r="A269" s="2" t="str">
        <f ca="1">OFFSET(Язык!$A$122,0,LANGUAGE)</f>
        <v xml:space="preserve">    суммарные выплаты за материалы (без НДС)</v>
      </c>
      <c r="C269" s="6" t="str">
        <f t="shared" ca="1" si="223"/>
        <v>$</v>
      </c>
      <c r="F269" s="26">
        <f t="shared" ref="F269:J269" ca="1" si="230">SUMIF($D201:$D254,"*1_14*",F201:F254)+SUMIF($D201:$D254,"*2_14*",F201:F254)*F$98</f>
        <v>0</v>
      </c>
      <c r="G269" s="26">
        <f t="shared" ca="1" si="230"/>
        <v>1305803.5714285714</v>
      </c>
      <c r="H269" s="26">
        <f t="shared" ca="1" si="230"/>
        <v>2872767.8571428568</v>
      </c>
      <c r="I269" s="26">
        <f t="shared" ca="1" si="230"/>
        <v>3160044.6428571427</v>
      </c>
      <c r="J269" s="26">
        <f t="shared" ca="1" si="230"/>
        <v>3476049.1071428573</v>
      </c>
      <c r="K269" s="26">
        <f t="shared" ref="K269" ca="1" si="231">SUMIF($D201:$D254,"*1_14*",K201:K254)+SUMIF($D201:$D254,"*2_14*",K201:K254)*K$98</f>
        <v>3823654.0178571437</v>
      </c>
      <c r="M269" s="30">
        <f ca="1">SUM(G269:K269)</f>
        <v>14638319.196428573</v>
      </c>
    </row>
    <row r="270" spans="1:13" ht="12.75" hidden="1" outlineLevel="2" thickTop="1" thickBot="1">
      <c r="A270" s="2" t="str">
        <f ca="1">OFFSET(Язык!$A$123,0,LANGUAGE)</f>
        <v xml:space="preserve">    уплачено НДС</v>
      </c>
      <c r="C270" s="6" t="str">
        <f t="shared" ca="1" si="223"/>
        <v>$</v>
      </c>
      <c r="F270" s="26">
        <f t="shared" ref="F270:J270" ca="1" si="232">SUMIF($D201:$D254,"*1_15*",F201:F254)+SUMIF($D201:$D254,"*2_15*",F201:F254)*F$98</f>
        <v>0</v>
      </c>
      <c r="G270" s="26">
        <f t="shared" ca="1" si="232"/>
        <v>156696.42857142855</v>
      </c>
      <c r="H270" s="26">
        <f t="shared" ca="1" si="232"/>
        <v>344732.14285714284</v>
      </c>
      <c r="I270" s="26">
        <f t="shared" ca="1" si="232"/>
        <v>379205.35714285716</v>
      </c>
      <c r="J270" s="26">
        <f t="shared" ca="1" si="232"/>
        <v>417125.89285714284</v>
      </c>
      <c r="K270" s="26">
        <f t="shared" ref="K270" ca="1" si="233">SUMIF($D201:$D254,"*1_15*",K201:K254)+SUMIF($D201:$D254,"*2_15*",K201:K254)*K$98</f>
        <v>458838.48214285722</v>
      </c>
      <c r="M270" s="30">
        <f ca="1">SUM(G270:K270)</f>
        <v>1756598.3035714286</v>
      </c>
    </row>
    <row r="271" spans="1:13" ht="12.75" hidden="1" outlineLevel="2" thickTop="1" thickBot="1">
      <c r="A271" s="2" t="str">
        <f ca="1">OFFSET(Язык!$A$124,0,LANGUAGE)</f>
        <v xml:space="preserve">    авансы в обороте в течение периода</v>
      </c>
      <c r="C271" s="6" t="str">
        <f t="shared" ca="1" si="223"/>
        <v>$</v>
      </c>
      <c r="D271" s="2" t="s">
        <v>1736</v>
      </c>
      <c r="F271" s="26">
        <f t="shared" ref="F271:J271" si="234">SUMIF($D201:$D254,"*1_16*",F201:F254)+SUMIF($D201:$D254,"*2_16*",F201:F254)*F$98</f>
        <v>0</v>
      </c>
      <c r="G271" s="26">
        <f t="shared" si="234"/>
        <v>0</v>
      </c>
      <c r="H271" s="26">
        <f t="shared" si="234"/>
        <v>0</v>
      </c>
      <c r="I271" s="26">
        <f t="shared" si="234"/>
        <v>0</v>
      </c>
      <c r="J271" s="26">
        <f t="shared" si="234"/>
        <v>0</v>
      </c>
      <c r="K271" s="26">
        <f t="shared" ref="K271" si="235">SUMIF($D201:$D254,"*1_16*",K201:K254)+SUMIF($D201:$D254,"*2_16*",K201:K254)*K$98</f>
        <v>0</v>
      </c>
      <c r="M271" s="30"/>
    </row>
    <row r="272" spans="1:13" ht="12.75" hidden="1" outlineLevel="2" thickTop="1" thickBot="1">
      <c r="A272" s="2" t="str">
        <f ca="1">OFFSET(Язык!$A$125,0,LANGUAGE)</f>
        <v xml:space="preserve">    авансы, переходящие в следующий период</v>
      </c>
      <c r="C272" s="6" t="str">
        <f t="shared" ca="1" si="223"/>
        <v>$</v>
      </c>
      <c r="D272" s="2" t="s">
        <v>1736</v>
      </c>
      <c r="F272" s="26">
        <f t="shared" ref="F272:J272" ca="1" si="236">SUMIF($D201:$D254,"*1_17*",F201:F254)+SUMIF($D201:$D254,"*2_17*",F201:F254)*F$98</f>
        <v>0</v>
      </c>
      <c r="G272" s="26">
        <f t="shared" ca="1" si="236"/>
        <v>0</v>
      </c>
      <c r="H272" s="26">
        <f t="shared" ca="1" si="236"/>
        <v>0</v>
      </c>
      <c r="I272" s="26">
        <f t="shared" ca="1" si="236"/>
        <v>0</v>
      </c>
      <c r="J272" s="26">
        <f t="shared" ca="1" si="236"/>
        <v>0</v>
      </c>
      <c r="K272" s="26">
        <f t="shared" ref="K272" ca="1" si="237">SUMIF($D201:$D254,"*1_17*",K201:K254)+SUMIF($D201:$D254,"*2_17*",K201:K254)*K$98</f>
        <v>0</v>
      </c>
      <c r="M272" s="30"/>
    </row>
    <row r="273" spans="1:13" ht="12.75" hidden="1" outlineLevel="2" thickTop="1" thickBot="1">
      <c r="A273" s="2" t="str">
        <f ca="1">OFFSET(Язык!$A$126,0,LANGUAGE)</f>
        <v xml:space="preserve">    кредиторская задолж.  в обороте в течение периода</v>
      </c>
      <c r="C273" s="6" t="str">
        <f t="shared" ca="1" si="223"/>
        <v>$</v>
      </c>
      <c r="D273" s="2" t="s">
        <v>1736</v>
      </c>
      <c r="F273" s="26">
        <f t="shared" ref="F273:J273" si="238">SUMIF($D201:$D254,"*1_18*",F201:F254)+SUMIF($D201:$D254,"*2_18*",F201:F254)*F$98</f>
        <v>0</v>
      </c>
      <c r="G273" s="26">
        <f t="shared" si="238"/>
        <v>0</v>
      </c>
      <c r="H273" s="26">
        <f t="shared" si="238"/>
        <v>0</v>
      </c>
      <c r="I273" s="26">
        <f t="shared" si="238"/>
        <v>0</v>
      </c>
      <c r="J273" s="26">
        <f t="shared" si="238"/>
        <v>0</v>
      </c>
      <c r="K273" s="26">
        <f t="shared" ref="K273" si="239">SUMIF($D201:$D254,"*1_18*",K201:K254)+SUMIF($D201:$D254,"*2_18*",K201:K254)*K$98</f>
        <v>0</v>
      </c>
      <c r="M273" s="30"/>
    </row>
    <row r="274" spans="1:13" ht="12.75" hidden="1" outlineLevel="2" thickTop="1" thickBot="1">
      <c r="A274" s="2" t="str">
        <f ca="1">OFFSET(Язык!$A$127,0,LANGUAGE)</f>
        <v xml:space="preserve">    кредиторская задолж., переходящая в след. период</v>
      </c>
      <c r="C274" s="6" t="str">
        <f t="shared" ca="1" si="223"/>
        <v>$</v>
      </c>
      <c r="D274" s="2" t="s">
        <v>1736</v>
      </c>
      <c r="F274" s="26">
        <f t="shared" ref="F274:J274" ca="1" si="240">SUMIF($D201:$D254,"*1_19*",F201:F254)+SUMIF($D201:$D254,"*2_19*",F201:F254)*F$98</f>
        <v>0</v>
      </c>
      <c r="G274" s="26">
        <f t="shared" ca="1" si="240"/>
        <v>0</v>
      </c>
      <c r="H274" s="26">
        <f t="shared" ca="1" si="240"/>
        <v>0</v>
      </c>
      <c r="I274" s="26">
        <f t="shared" ca="1" si="240"/>
        <v>0</v>
      </c>
      <c r="J274" s="26">
        <f t="shared" ca="1" si="240"/>
        <v>0</v>
      </c>
      <c r="K274" s="26">
        <f t="shared" ref="K274" ca="1" si="241">SUMIF($D201:$D254,"*1_19*",K201:K254)+SUMIF($D201:$D254,"*2_19*",K201:K254)*K$98</f>
        <v>0</v>
      </c>
      <c r="M274" s="30"/>
    </row>
    <row r="275" spans="1:13" outlineLevel="1">
      <c r="A275" s="68"/>
      <c r="B275" s="67"/>
      <c r="C275" s="67"/>
      <c r="D275" s="68"/>
      <c r="E275" s="68"/>
      <c r="F275" s="68"/>
      <c r="G275" s="68"/>
      <c r="H275" s="68"/>
      <c r="I275" s="68"/>
      <c r="J275" s="68"/>
      <c r="K275" s="68"/>
      <c r="L275" s="68"/>
      <c r="M275" s="68"/>
    </row>
    <row r="276" spans="1:13" ht="12" outlineLevel="1" thickBot="1"/>
    <row r="277" spans="1:13" ht="15.95" customHeight="1" thickTop="1" thickBot="1">
      <c r="A277" s="18" t="str">
        <f ca="1">OFFSET(Язык!$A$128,0,LANGUAGE)</f>
        <v>ПЕРСОНАЛ И ЗАРАБОТНАЯ ПЛАТА</v>
      </c>
      <c r="B277" s="23"/>
      <c r="C277" s="19"/>
      <c r="D277" s="18"/>
      <c r="E277" s="18"/>
      <c r="F277" s="19" t="str">
        <f t="shared" ref="F277:K277" si="242">PeriodTitle</f>
        <v>"0"</v>
      </c>
      <c r="G277" s="19">
        <f t="shared" si="242"/>
        <v>2013</v>
      </c>
      <c r="H277" s="19">
        <f t="shared" si="242"/>
        <v>2014</v>
      </c>
      <c r="I277" s="19">
        <f t="shared" si="242"/>
        <v>2015</v>
      </c>
      <c r="J277" s="19">
        <f t="shared" si="242"/>
        <v>2016</v>
      </c>
      <c r="K277" s="19">
        <f t="shared" si="242"/>
        <v>2017</v>
      </c>
      <c r="L277" s="19"/>
      <c r="M277" s="23" t="str">
        <f ca="1">OFFSET(Язык!$A$77,0,LANGUAGE)</f>
        <v>ИТОГО</v>
      </c>
    </row>
    <row r="278" spans="1:13" ht="12" outlineLevel="1" thickTop="1"/>
    <row r="279" spans="1:13" outlineLevel="1">
      <c r="A279" s="85" t="str">
        <f ca="1">OFFSET(Язык!$A$129,0,LANGUAGE)</f>
        <v>Основной производственный персонал</v>
      </c>
      <c r="B279" s="41"/>
      <c r="C279" s="41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outlineLevel="1">
      <c r="A280" s="32"/>
    </row>
    <row r="281" spans="1:13" s="47" customFormat="1" outlineLevel="1">
      <c r="A281" s="47" t="str">
        <f ca="1">OFFSET(Язык!$A$632,0,LANGUAGE)</f>
        <v>Выплаченная сдельная зарплата</v>
      </c>
      <c r="B281" s="71"/>
      <c r="C281" s="71" t="str">
        <f ca="1">CUR_Main</f>
        <v>$</v>
      </c>
      <c r="G281" s="72">
        <f t="shared" ref="G281:J281" si="243">G256</f>
        <v>0</v>
      </c>
      <c r="H281" s="72">
        <f t="shared" si="243"/>
        <v>0</v>
      </c>
      <c r="I281" s="72">
        <f t="shared" si="243"/>
        <v>0</v>
      </c>
      <c r="J281" s="72">
        <f t="shared" si="243"/>
        <v>0</v>
      </c>
      <c r="K281" s="72">
        <f t="shared" ref="K281" si="244">K256</f>
        <v>0</v>
      </c>
      <c r="M281" s="72">
        <f>SUM(G281:K281)</f>
        <v>0</v>
      </c>
    </row>
    <row r="282" spans="1:13" outlineLevel="1">
      <c r="A282" s="37"/>
      <c r="B282" s="6" t="str">
        <f ca="1">OFFSET(Язык!$A$136,0,LANGUAGE)</f>
        <v>Кол-во</v>
      </c>
      <c r="C282" s="6" t="str">
        <f ca="1">OFFSET(Язык!$A$137,0,LANGUAGE)</f>
        <v>Мес. оклад</v>
      </c>
      <c r="E282" s="2">
        <v>1</v>
      </c>
      <c r="G282" s="30"/>
      <c r="H282" s="30"/>
      <c r="I282" s="30"/>
      <c r="J282" s="30"/>
      <c r="K282" s="30"/>
      <c r="M282" s="30"/>
    </row>
    <row r="283" spans="1:13" outlineLevel="1">
      <c r="A283" s="5" t="s">
        <v>2272</v>
      </c>
      <c r="B283" s="7">
        <v>54</v>
      </c>
      <c r="C283" s="7">
        <v>450</v>
      </c>
      <c r="D283" s="2" t="s">
        <v>2309</v>
      </c>
      <c r="G283" s="26">
        <f t="shared" ref="G283:J283" ca="1" si="245">G284*G285*PRJ_Step/30</f>
        <v>72900</v>
      </c>
      <c r="H283" s="26">
        <f t="shared" si="245"/>
        <v>17820</v>
      </c>
      <c r="I283" s="26">
        <f t="shared" ca="1" si="245"/>
        <v>352836</v>
      </c>
      <c r="J283" s="26">
        <f t="shared" ca="1" si="245"/>
        <v>388119.60000000003</v>
      </c>
      <c r="K283" s="26">
        <f t="shared" ref="K283" ca="1" si="246">K284*K285*PRJ_Step/30</f>
        <v>426931.56</v>
      </c>
      <c r="M283" s="30">
        <f ca="1">SUM(G283:K283)</f>
        <v>1258607.1600000001</v>
      </c>
    </row>
    <row r="284" spans="1:13" outlineLevel="2">
      <c r="A284" s="2" t="str">
        <f ca="1">OFFSET(Язык!$A$134,0,LANGUAGE)</f>
        <v xml:space="preserve">    количество</v>
      </c>
      <c r="C284" s="6" t="str">
        <f ca="1">OFFSET(Язык!$A$138,0,LANGUAGE)</f>
        <v>чел.</v>
      </c>
      <c r="D284" s="2" t="s">
        <v>1747</v>
      </c>
      <c r="G284" s="40">
        <f ca="1">INT($B283*G$118)</f>
        <v>27</v>
      </c>
      <c r="H284" s="40">
        <v>3</v>
      </c>
      <c r="I284" s="40">
        <f t="shared" ref="I284:J284" ca="1" si="247">INT($B283*I$118)</f>
        <v>54</v>
      </c>
      <c r="J284" s="40">
        <f t="shared" ca="1" si="247"/>
        <v>54</v>
      </c>
      <c r="K284" s="40">
        <f t="shared" ref="K284" ca="1" si="248">INT($B283*K$118)</f>
        <v>54</v>
      </c>
    </row>
    <row r="285" spans="1:13" outlineLevel="2">
      <c r="A285" s="2" t="str">
        <f ca="1">OFFSET(Язык!$A$135,0,LANGUAGE)</f>
        <v xml:space="preserve">    месячный оклад</v>
      </c>
      <c r="C285" s="6" t="str">
        <f ca="1">CUR_Main</f>
        <v>$</v>
      </c>
      <c r="D285" s="2" t="s">
        <v>1746</v>
      </c>
      <c r="G285" s="40">
        <v>225</v>
      </c>
      <c r="H285" s="40">
        <v>495</v>
      </c>
      <c r="I285" s="40">
        <f t="shared" ref="I285:K285" si="249">H285*I$94</f>
        <v>544.5</v>
      </c>
      <c r="J285" s="40">
        <f t="shared" si="249"/>
        <v>598.95000000000005</v>
      </c>
      <c r="K285" s="40">
        <f t="shared" si="249"/>
        <v>658.84500000000014</v>
      </c>
    </row>
    <row r="286" spans="1:13" outlineLevel="1"/>
    <row r="287" spans="1:13" outlineLevel="1">
      <c r="A287" s="85" t="str">
        <f ca="1">OFFSET(Язык!$A$130,0,LANGUAGE)</f>
        <v>Вспомогательный производственный персонал</v>
      </c>
      <c r="B287" s="41"/>
      <c r="C287" s="41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outlineLevel="1">
      <c r="B288" s="6" t="str">
        <f ca="1">OFFSET(Язык!$A$136,0,LANGUAGE)</f>
        <v>Кол-во</v>
      </c>
      <c r="C288" s="6" t="str">
        <f ca="1">OFFSET(Язык!$A$137,0,LANGUAGE)</f>
        <v>Мес. оклад</v>
      </c>
      <c r="E288" s="2">
        <v>1</v>
      </c>
    </row>
    <row r="289" spans="1:13" outlineLevel="1" collapsed="1">
      <c r="A289" s="5" t="s">
        <v>2278</v>
      </c>
      <c r="B289" s="7">
        <v>0</v>
      </c>
      <c r="C289" s="7">
        <v>0</v>
      </c>
      <c r="D289" s="2" t="s">
        <v>2309</v>
      </c>
      <c r="G289" s="26">
        <f t="shared" ref="G289:J289" si="250">G290*G291*PRJ_Step/30</f>
        <v>0</v>
      </c>
      <c r="H289" s="26">
        <f t="shared" si="250"/>
        <v>0</v>
      </c>
      <c r="I289" s="26">
        <f t="shared" si="250"/>
        <v>0</v>
      </c>
      <c r="J289" s="26">
        <f t="shared" si="250"/>
        <v>0</v>
      </c>
      <c r="K289" s="26">
        <f t="shared" ref="K289" si="251">K290*K291*PRJ_Step/30</f>
        <v>0</v>
      </c>
      <c r="M289" s="30">
        <f>SUM(G289:K289)</f>
        <v>0</v>
      </c>
    </row>
    <row r="290" spans="1:13" hidden="1" outlineLevel="2">
      <c r="A290" s="2" t="str">
        <f ca="1">OFFSET(Язык!$A$134,0,LANGUAGE)</f>
        <v xml:space="preserve">    количество</v>
      </c>
      <c r="C290" s="6" t="str">
        <f ca="1">OFFSET(Язык!$A$138,0,LANGUAGE)</f>
        <v>чел.</v>
      </c>
      <c r="D290" s="2" t="s">
        <v>1747</v>
      </c>
      <c r="G290" s="40">
        <v>0</v>
      </c>
      <c r="H290" s="40">
        <v>0</v>
      </c>
      <c r="I290" s="40">
        <f t="shared" ref="I290:K290" si="252">H290</f>
        <v>0</v>
      </c>
      <c r="J290" s="40">
        <f t="shared" si="252"/>
        <v>0</v>
      </c>
      <c r="K290" s="40">
        <f t="shared" si="252"/>
        <v>0</v>
      </c>
    </row>
    <row r="291" spans="1:13" hidden="1" outlineLevel="2">
      <c r="A291" s="2" t="str">
        <f ca="1">OFFSET(Язык!$A$135,0,LANGUAGE)</f>
        <v xml:space="preserve">    месячный оклад</v>
      </c>
      <c r="C291" s="6" t="str">
        <f ca="1">CUR_Main</f>
        <v>$</v>
      </c>
      <c r="D291" s="2" t="s">
        <v>1746</v>
      </c>
      <c r="G291" s="40">
        <v>0</v>
      </c>
      <c r="H291" s="40">
        <v>0</v>
      </c>
      <c r="I291" s="40">
        <f t="shared" ref="I291:K291" si="253">H291*I$94</f>
        <v>0</v>
      </c>
      <c r="J291" s="40">
        <f t="shared" si="253"/>
        <v>0</v>
      </c>
      <c r="K291" s="40">
        <f t="shared" si="253"/>
        <v>0</v>
      </c>
    </row>
    <row r="292" spans="1:13" outlineLevel="1"/>
    <row r="293" spans="1:13" outlineLevel="1">
      <c r="A293" s="85" t="str">
        <f ca="1">OFFSET(Язык!$A$131,0,LANGUAGE)</f>
        <v>Административный персонал</v>
      </c>
      <c r="B293" s="41"/>
      <c r="C293" s="41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outlineLevel="1">
      <c r="B294" s="6" t="str">
        <f ca="1">OFFSET(Язык!$A$136,0,LANGUAGE)</f>
        <v>Кол-во</v>
      </c>
      <c r="C294" s="6" t="str">
        <f ca="1">OFFSET(Язык!$A$137,0,LANGUAGE)</f>
        <v>Мес. оклад</v>
      </c>
      <c r="E294" s="2">
        <v>1</v>
      </c>
    </row>
    <row r="295" spans="1:13" outlineLevel="1">
      <c r="A295" s="5" t="s">
        <v>2280</v>
      </c>
      <c r="B295" s="7">
        <v>2</v>
      </c>
      <c r="C295" s="7">
        <v>1000</v>
      </c>
      <c r="D295" s="2" t="s">
        <v>2309</v>
      </c>
      <c r="G295" s="26">
        <f t="shared" ref="G295:J295" si="254">G296*G297*PRJ_Step/30</f>
        <v>6000</v>
      </c>
      <c r="H295" s="26">
        <f t="shared" si="254"/>
        <v>26400</v>
      </c>
      <c r="I295" s="26">
        <f t="shared" si="254"/>
        <v>29040</v>
      </c>
      <c r="J295" s="26">
        <f t="shared" si="254"/>
        <v>31944</v>
      </c>
      <c r="K295" s="26">
        <f t="shared" ref="K295" si="255">K296*K297*PRJ_Step/30</f>
        <v>35138.400000000001</v>
      </c>
      <c r="M295" s="30">
        <f>SUM(G295:K295)</f>
        <v>128522.4</v>
      </c>
    </row>
    <row r="296" spans="1:13" outlineLevel="2">
      <c r="A296" s="2" t="str">
        <f ca="1">OFFSET(Язык!$A$134,0,LANGUAGE)</f>
        <v xml:space="preserve">    количество</v>
      </c>
      <c r="C296" s="6" t="str">
        <f ca="1">OFFSET(Язык!$A$138,0,LANGUAGE)</f>
        <v>чел.</v>
      </c>
      <c r="D296" s="2" t="s">
        <v>1747</v>
      </c>
      <c r="G296" s="40">
        <v>1</v>
      </c>
      <c r="H296" s="40">
        <v>2</v>
      </c>
      <c r="I296" s="40">
        <f t="shared" ref="I296:K296" si="256">H296</f>
        <v>2</v>
      </c>
      <c r="J296" s="40">
        <f t="shared" si="256"/>
        <v>2</v>
      </c>
      <c r="K296" s="40">
        <f t="shared" si="256"/>
        <v>2</v>
      </c>
    </row>
    <row r="297" spans="1:13" outlineLevel="2">
      <c r="A297" s="2" t="str">
        <f ca="1">OFFSET(Язык!$A$135,0,LANGUAGE)</f>
        <v xml:space="preserve">    месячный оклад</v>
      </c>
      <c r="C297" s="6" t="str">
        <f ca="1">CUR_Main</f>
        <v>$</v>
      </c>
      <c r="D297" s="2" t="s">
        <v>1746</v>
      </c>
      <c r="G297" s="40">
        <v>500</v>
      </c>
      <c r="H297" s="40">
        <v>1100</v>
      </c>
      <c r="I297" s="40">
        <f t="shared" ref="I297:K297" si="257">H297*I$94</f>
        <v>1210</v>
      </c>
      <c r="J297" s="40">
        <f t="shared" si="257"/>
        <v>1331</v>
      </c>
      <c r="K297" s="40">
        <f t="shared" si="257"/>
        <v>1464.1000000000001</v>
      </c>
    </row>
    <row r="298" spans="1:13" outlineLevel="1"/>
    <row r="299" spans="1:13" outlineLevel="1">
      <c r="A299" s="85" t="str">
        <f ca="1">OFFSET(Язык!$A$132,0,LANGUAGE)</f>
        <v>Коммерческий персонал</v>
      </c>
      <c r="B299" s="41"/>
      <c r="C299" s="41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outlineLevel="1">
      <c r="B300" s="6" t="str">
        <f ca="1">OFFSET(Язык!$A$136,0,LANGUAGE)</f>
        <v>Кол-во</v>
      </c>
      <c r="C300" s="6" t="str">
        <f ca="1">OFFSET(Язык!$A$137,0,LANGUAGE)</f>
        <v>Мес. оклад</v>
      </c>
      <c r="E300" s="2">
        <v>1</v>
      </c>
    </row>
    <row r="301" spans="1:13" outlineLevel="1" collapsed="1">
      <c r="A301" s="5" t="s">
        <v>2273</v>
      </c>
      <c r="B301" s="7">
        <v>0</v>
      </c>
      <c r="C301" s="7">
        <v>0</v>
      </c>
      <c r="D301" s="2" t="s">
        <v>2309</v>
      </c>
      <c r="G301" s="26">
        <f t="shared" ref="G301:J301" si="258">G302*G303*PRJ_Step/30</f>
        <v>0</v>
      </c>
      <c r="H301" s="26">
        <f t="shared" si="258"/>
        <v>0</v>
      </c>
      <c r="I301" s="26">
        <f t="shared" si="258"/>
        <v>0</v>
      </c>
      <c r="J301" s="26">
        <f t="shared" si="258"/>
        <v>0</v>
      </c>
      <c r="K301" s="26">
        <f t="shared" ref="K301" si="259">K302*K303*PRJ_Step/30</f>
        <v>0</v>
      </c>
      <c r="M301" s="30">
        <f>SUM(G301:K301)</f>
        <v>0</v>
      </c>
    </row>
    <row r="302" spans="1:13" hidden="1" outlineLevel="2">
      <c r="A302" s="2" t="str">
        <f ca="1">OFFSET(Язык!$A$134,0,LANGUAGE)</f>
        <v xml:space="preserve">    количество</v>
      </c>
      <c r="C302" s="6" t="str">
        <f ca="1">OFFSET(Язык!$A$138,0,LANGUAGE)</f>
        <v>чел.</v>
      </c>
      <c r="D302" s="2" t="s">
        <v>1747</v>
      </c>
      <c r="G302" s="40">
        <f>$B301</f>
        <v>0</v>
      </c>
      <c r="H302" s="40">
        <f t="shared" ref="H302:K302" si="260">G302</f>
        <v>0</v>
      </c>
      <c r="I302" s="40">
        <f t="shared" si="260"/>
        <v>0</v>
      </c>
      <c r="J302" s="40">
        <f t="shared" si="260"/>
        <v>0</v>
      </c>
      <c r="K302" s="40">
        <f t="shared" si="260"/>
        <v>0</v>
      </c>
    </row>
    <row r="303" spans="1:13" hidden="1" outlineLevel="2">
      <c r="A303" s="2" t="str">
        <f ca="1">OFFSET(Язык!$A$135,0,LANGUAGE)</f>
        <v xml:space="preserve">    месячный оклад</v>
      </c>
      <c r="C303" s="6" t="str">
        <f ca="1">CUR_Main</f>
        <v>$</v>
      </c>
      <c r="D303" s="2" t="s">
        <v>1746</v>
      </c>
      <c r="G303" s="40">
        <f>$C301</f>
        <v>0</v>
      </c>
      <c r="H303" s="40">
        <f t="shared" ref="H303:K303" si="261">G303*H$94</f>
        <v>0</v>
      </c>
      <c r="I303" s="40">
        <f t="shared" si="261"/>
        <v>0</v>
      </c>
      <c r="J303" s="40">
        <f t="shared" si="261"/>
        <v>0</v>
      </c>
      <c r="K303" s="40">
        <f t="shared" si="261"/>
        <v>0</v>
      </c>
    </row>
    <row r="304" spans="1:13" outlineLevel="1"/>
    <row r="305" spans="1:13" outlineLevel="1" collapsed="1">
      <c r="A305" s="156" t="str">
        <f ca="1">OFFSET(Язык!$A$98,0,LANGUAGE)</f>
        <v xml:space="preserve"> = Итого</v>
      </c>
      <c r="B305" s="67"/>
      <c r="C305" s="67" t="str">
        <f t="shared" ref="C305:C310" ca="1" si="262">CUR_Main</f>
        <v>$</v>
      </c>
      <c r="D305" s="68"/>
      <c r="E305" s="68"/>
      <c r="F305" s="68"/>
      <c r="G305" s="157">
        <f t="shared" ref="G305:J305" ca="1" si="263">SUM(G306:G310)</f>
        <v>78900</v>
      </c>
      <c r="H305" s="157">
        <f t="shared" si="263"/>
        <v>44220</v>
      </c>
      <c r="I305" s="157">
        <f t="shared" ca="1" si="263"/>
        <v>381876</v>
      </c>
      <c r="J305" s="157">
        <f t="shared" ca="1" si="263"/>
        <v>420063.60000000003</v>
      </c>
      <c r="K305" s="157">
        <f t="shared" ref="K305" ca="1" si="264">SUM(K306:K310)</f>
        <v>462069.96</v>
      </c>
      <c r="L305" s="69"/>
      <c r="M305" s="158">
        <f t="shared" ref="M305:M317" ca="1" si="265">SUM(G305:K305)</f>
        <v>1387129.56</v>
      </c>
    </row>
    <row r="306" spans="1:13" hidden="1" outlineLevel="2">
      <c r="A306" s="47" t="str">
        <f ca="1">OFFSET(Язык!$A$633,0,LANGUAGE)</f>
        <v xml:space="preserve">    Cдельная оплата труда</v>
      </c>
      <c r="C306" s="6" t="str">
        <f t="shared" ca="1" si="262"/>
        <v>$</v>
      </c>
      <c r="G306" s="26">
        <f t="shared" ref="G306:J306" si="266">G256</f>
        <v>0</v>
      </c>
      <c r="H306" s="26">
        <f t="shared" si="266"/>
        <v>0</v>
      </c>
      <c r="I306" s="26">
        <f t="shared" si="266"/>
        <v>0</v>
      </c>
      <c r="J306" s="26">
        <f t="shared" si="266"/>
        <v>0</v>
      </c>
      <c r="K306" s="26">
        <f t="shared" ref="K306" si="267">K256</f>
        <v>0</v>
      </c>
      <c r="L306" s="26"/>
      <c r="M306" s="30">
        <f t="shared" si="265"/>
        <v>0</v>
      </c>
    </row>
    <row r="307" spans="1:13" hidden="1" outlineLevel="2">
      <c r="A307" s="47" t="str">
        <f ca="1">"    " &amp; OFFSET(Язык!$A$129,0,LANGUAGE)</f>
        <v xml:space="preserve">    Основной производственный персонал</v>
      </c>
      <c r="C307" s="6" t="str">
        <f t="shared" ca="1" si="262"/>
        <v>$</v>
      </c>
      <c r="G307" s="26">
        <f t="shared" ref="G307:J307" ca="1" si="268">SUMIF($D279:$D286,"*expenses*",G279:G286)/IF(CUR_I_Report=2,G$98,1)</f>
        <v>72900</v>
      </c>
      <c r="H307" s="26">
        <f t="shared" si="268"/>
        <v>17820</v>
      </c>
      <c r="I307" s="26">
        <f t="shared" ca="1" si="268"/>
        <v>352836</v>
      </c>
      <c r="J307" s="26">
        <f t="shared" ca="1" si="268"/>
        <v>388119.60000000003</v>
      </c>
      <c r="K307" s="26">
        <f t="shared" ref="K307" ca="1" si="269">SUMIF($D279:$D286,"*expenses*",K279:K286)/IF(CUR_I_Report=2,K$98,1)</f>
        <v>426931.56</v>
      </c>
      <c r="L307" s="26"/>
      <c r="M307" s="30">
        <f t="shared" ca="1" si="265"/>
        <v>1258607.1600000001</v>
      </c>
    </row>
    <row r="308" spans="1:13" hidden="1" outlineLevel="2">
      <c r="A308" s="47" t="str">
        <f ca="1">"    " &amp; OFFSET(Язык!$A$130,0,LANGUAGE)</f>
        <v xml:space="preserve">    Вспомогательный производственный персонал</v>
      </c>
      <c r="C308" s="6" t="str">
        <f t="shared" ca="1" si="262"/>
        <v>$</v>
      </c>
      <c r="G308" s="26">
        <f t="shared" ref="G308:J308" si="270">SUMIF($D288:$D292,"*expenses*",G288:G292)/IF(CUR_I_Report=2,G$98,1)</f>
        <v>0</v>
      </c>
      <c r="H308" s="26">
        <f t="shared" si="270"/>
        <v>0</v>
      </c>
      <c r="I308" s="26">
        <f t="shared" si="270"/>
        <v>0</v>
      </c>
      <c r="J308" s="26">
        <f t="shared" si="270"/>
        <v>0</v>
      </c>
      <c r="K308" s="26">
        <f t="shared" ref="K308" si="271">SUMIF($D288:$D292,"*expenses*",K288:K292)/IF(CUR_I_Report=2,K$98,1)</f>
        <v>0</v>
      </c>
      <c r="L308" s="26"/>
      <c r="M308" s="30">
        <f t="shared" si="265"/>
        <v>0</v>
      </c>
    </row>
    <row r="309" spans="1:13" hidden="1" outlineLevel="2">
      <c r="A309" s="47" t="str">
        <f ca="1">"    " &amp; OFFSET(Язык!$A$131,0,LANGUAGE)</f>
        <v xml:space="preserve">    Административный персонал</v>
      </c>
      <c r="C309" s="6" t="str">
        <f t="shared" ca="1" si="262"/>
        <v>$</v>
      </c>
      <c r="G309" s="26">
        <f t="shared" ref="G309:J309" si="272">SUMIF($D294:$D298,"*expenses*",G294:G298)/IF(CUR_I_Report=2,G$98,1)</f>
        <v>6000</v>
      </c>
      <c r="H309" s="26">
        <f t="shared" si="272"/>
        <v>26400</v>
      </c>
      <c r="I309" s="26">
        <f t="shared" si="272"/>
        <v>29040</v>
      </c>
      <c r="J309" s="26">
        <f t="shared" si="272"/>
        <v>31944</v>
      </c>
      <c r="K309" s="26">
        <f t="shared" ref="K309" si="273">SUMIF($D294:$D298,"*expenses*",K294:K298)/IF(CUR_I_Report=2,K$98,1)</f>
        <v>35138.400000000001</v>
      </c>
      <c r="L309" s="26"/>
      <c r="M309" s="30">
        <f t="shared" si="265"/>
        <v>128522.4</v>
      </c>
    </row>
    <row r="310" spans="1:13" hidden="1" outlineLevel="2">
      <c r="A310" s="47" t="str">
        <f ca="1">"    " &amp; OFFSET(Язык!$A$132,0,LANGUAGE)</f>
        <v xml:space="preserve">    Коммерческий персонал</v>
      </c>
      <c r="C310" s="6" t="str">
        <f t="shared" ca="1" si="262"/>
        <v>$</v>
      </c>
      <c r="G310" s="26">
        <f t="shared" ref="G310:J310" si="274">SUMIF($D300:$D304,"*expenses*",G300:G304)/IF(CUR_I_Report=2,G$98,1)</f>
        <v>0</v>
      </c>
      <c r="H310" s="26">
        <f t="shared" si="274"/>
        <v>0</v>
      </c>
      <c r="I310" s="26">
        <f t="shared" si="274"/>
        <v>0</v>
      </c>
      <c r="J310" s="26">
        <f t="shared" si="274"/>
        <v>0</v>
      </c>
      <c r="K310" s="26">
        <f t="shared" ref="K310" si="275">SUMIF($D300:$D304,"*expenses*",K300:K304)/IF(CUR_I_Report=2,K$98,1)</f>
        <v>0</v>
      </c>
      <c r="L310" s="26"/>
      <c r="M310" s="30">
        <f t="shared" si="265"/>
        <v>0</v>
      </c>
    </row>
    <row r="311" spans="1:13" outlineLevel="1"/>
    <row r="312" spans="1:13" outlineLevel="1" collapsed="1">
      <c r="A312" s="2" t="str">
        <f ca="1">OFFSET(Язык!$A$871,0,LANGUAGE)</f>
        <v>Начисленный ЕСН и страхование</v>
      </c>
      <c r="G312" s="26">
        <f t="shared" ref="G312:J312" ca="1" si="276">SUM(G313:G316)</f>
        <v>20514</v>
      </c>
      <c r="H312" s="26">
        <f t="shared" si="276"/>
        <v>11497.2</v>
      </c>
      <c r="I312" s="26">
        <f t="shared" ca="1" si="276"/>
        <v>99287.76</v>
      </c>
      <c r="J312" s="26">
        <f t="shared" ca="1" si="276"/>
        <v>109216.53600000002</v>
      </c>
      <c r="K312" s="26">
        <f t="shared" ref="K312" ca="1" si="277">SUM(K313:K316)</f>
        <v>120138.1896</v>
      </c>
      <c r="M312" s="30">
        <f t="shared" ca="1" si="265"/>
        <v>360653.68560000003</v>
      </c>
    </row>
    <row r="313" spans="1:13" hidden="1" outlineLevel="2">
      <c r="A313" s="2" t="str">
        <f ca="1">OFFSET(Язык!$A$872,0,LANGUAGE)</f>
        <v xml:space="preserve">    - на зарплату основного произв. персонала</v>
      </c>
      <c r="G313" s="26">
        <f t="shared" ref="G313:J313" ca="1" si="278">(G306+G307)*(G701+G704)</f>
        <v>18954</v>
      </c>
      <c r="H313" s="26">
        <f t="shared" si="278"/>
        <v>4633.2</v>
      </c>
      <c r="I313" s="26">
        <f t="shared" ca="1" si="278"/>
        <v>91737.36</v>
      </c>
      <c r="J313" s="26">
        <f t="shared" ca="1" si="278"/>
        <v>100911.09600000002</v>
      </c>
      <c r="K313" s="26">
        <f t="shared" ref="K313" ca="1" si="279">(K306+K307)*(K701+K704)</f>
        <v>111002.2056</v>
      </c>
      <c r="M313" s="30">
        <f t="shared" ca="1" si="265"/>
        <v>327237.8616</v>
      </c>
    </row>
    <row r="314" spans="1:13" hidden="1" outlineLevel="2">
      <c r="A314" s="2" t="str">
        <f ca="1">OFFSET(Язык!$A$873,0,LANGUAGE)</f>
        <v xml:space="preserve">    - на зарплату вспомогательного произв. персонала</v>
      </c>
      <c r="G314" s="26">
        <f t="shared" ref="G314:J314" si="280">G308*(G701+G704)</f>
        <v>0</v>
      </c>
      <c r="H314" s="26">
        <f t="shared" si="280"/>
        <v>0</v>
      </c>
      <c r="I314" s="26">
        <f t="shared" si="280"/>
        <v>0</v>
      </c>
      <c r="J314" s="26">
        <f t="shared" si="280"/>
        <v>0</v>
      </c>
      <c r="K314" s="26">
        <f t="shared" ref="K314" si="281">K308*(K701+K704)</f>
        <v>0</v>
      </c>
      <c r="M314" s="30">
        <f t="shared" si="265"/>
        <v>0</v>
      </c>
    </row>
    <row r="315" spans="1:13" hidden="1" outlineLevel="2">
      <c r="A315" s="2" t="str">
        <f ca="1">OFFSET(Язык!$A$874,0,LANGUAGE)</f>
        <v xml:space="preserve">    - на зарплату административного персонала</v>
      </c>
      <c r="G315" s="26">
        <f t="shared" ref="G315:J315" si="282">G309*(G701+G704)</f>
        <v>1560</v>
      </c>
      <c r="H315" s="26">
        <f t="shared" si="282"/>
        <v>6864</v>
      </c>
      <c r="I315" s="26">
        <f t="shared" si="282"/>
        <v>7550.4000000000005</v>
      </c>
      <c r="J315" s="26">
        <f t="shared" si="282"/>
        <v>8305.44</v>
      </c>
      <c r="K315" s="26">
        <f t="shared" ref="K315" si="283">K309*(K701+K704)</f>
        <v>9135.9840000000004</v>
      </c>
      <c r="M315" s="30">
        <f t="shared" si="265"/>
        <v>33415.824000000008</v>
      </c>
    </row>
    <row r="316" spans="1:13" hidden="1" outlineLevel="2">
      <c r="A316" s="2" t="str">
        <f ca="1">OFFSET(Язык!$A$875,0,LANGUAGE)</f>
        <v xml:space="preserve">    - на зарплату коммерческого персонала</v>
      </c>
      <c r="G316" s="26">
        <f t="shared" ref="G316:J316" si="284">G310*(G701+G704)</f>
        <v>0</v>
      </c>
      <c r="H316" s="26">
        <f t="shared" si="284"/>
        <v>0</v>
      </c>
      <c r="I316" s="26">
        <f t="shared" si="284"/>
        <v>0</v>
      </c>
      <c r="J316" s="26">
        <f t="shared" si="284"/>
        <v>0</v>
      </c>
      <c r="K316" s="26">
        <f t="shared" ref="K316" si="285">K310*(K701+K704)</f>
        <v>0</v>
      </c>
      <c r="M316" s="30">
        <f t="shared" si="265"/>
        <v>0</v>
      </c>
    </row>
    <row r="317" spans="1:13" outlineLevel="1">
      <c r="A317" s="2" t="str">
        <f ca="1">OFFSET(Язык!$A$876,0,LANGUAGE)</f>
        <v>Расходы на зарплату с учетом ЕСН и страхования</v>
      </c>
      <c r="G317" s="62">
        <f t="shared" ref="G317:J317" ca="1" si="286">G305+G312</f>
        <v>99414</v>
      </c>
      <c r="H317" s="62">
        <f t="shared" si="286"/>
        <v>55717.2</v>
      </c>
      <c r="I317" s="62">
        <f t="shared" ca="1" si="286"/>
        <v>481163.76</v>
      </c>
      <c r="J317" s="62">
        <f t="shared" ca="1" si="286"/>
        <v>529280.13600000006</v>
      </c>
      <c r="K317" s="62">
        <f t="shared" ref="K317" ca="1" si="287">K305+K312</f>
        <v>582208.1496</v>
      </c>
      <c r="L317" s="32"/>
      <c r="M317" s="27">
        <f t="shared" ca="1" si="265"/>
        <v>1747783.2456</v>
      </c>
    </row>
    <row r="318" spans="1:13" outlineLevel="1"/>
    <row r="319" spans="1:13" outlineLevel="1">
      <c r="A319" s="37" t="str">
        <f ca="1">OFFSET(Язык!$A$133,0,LANGUAGE)</f>
        <v>Общая численность персонала</v>
      </c>
      <c r="B319" s="29"/>
      <c r="C319" s="29" t="str">
        <f ca="1">OFFSET(Язык!$A$138,0,LANGUAGE)</f>
        <v>чел.</v>
      </c>
      <c r="D319" s="37" t="s">
        <v>1746</v>
      </c>
      <c r="E319" s="37"/>
      <c r="F319" s="37"/>
      <c r="G319" s="30">
        <f t="shared" ref="G319:J319" ca="1" si="288">SUMIF($D279:$D304,"*qnt*",G279:G304)</f>
        <v>28</v>
      </c>
      <c r="H319" s="30">
        <f t="shared" si="288"/>
        <v>5</v>
      </c>
      <c r="I319" s="30">
        <f t="shared" ca="1" si="288"/>
        <v>56</v>
      </c>
      <c r="J319" s="30">
        <f t="shared" ca="1" si="288"/>
        <v>56</v>
      </c>
      <c r="K319" s="30">
        <f t="shared" ref="K319" ca="1" si="289">SUMIF($D279:$D304,"*qnt*",K279:K304)</f>
        <v>56</v>
      </c>
      <c r="L319" s="37"/>
      <c r="M319" s="37"/>
    </row>
    <row r="320" spans="1:13" outlineLevel="1">
      <c r="A320" s="68"/>
      <c r="B320" s="67"/>
      <c r="C320" s="67"/>
      <c r="D320" s="68"/>
      <c r="E320" s="68"/>
      <c r="F320" s="68"/>
      <c r="G320" s="68"/>
      <c r="H320" s="68"/>
      <c r="I320" s="68"/>
      <c r="J320" s="68"/>
      <c r="K320" s="68"/>
      <c r="L320" s="68"/>
      <c r="M320" s="68"/>
    </row>
    <row r="321" spans="1:13" ht="12" outlineLevel="1" thickBot="1"/>
    <row r="322" spans="1:13" ht="15.95" customHeight="1" thickTop="1" thickBot="1">
      <c r="A322" s="18" t="str">
        <f ca="1">OFFSET(Язык!$A$139,0,LANGUAGE)</f>
        <v>ТЕКУЩИЕ ЗАТРАТЫ</v>
      </c>
      <c r="B322" s="23"/>
      <c r="C322" s="19"/>
      <c r="D322" s="18"/>
      <c r="E322" s="18"/>
      <c r="F322" s="19" t="str">
        <f t="shared" ref="F322:K322" si="290">PeriodTitle</f>
        <v>"0"</v>
      </c>
      <c r="G322" s="19">
        <f t="shared" si="290"/>
        <v>2013</v>
      </c>
      <c r="H322" s="19">
        <f t="shared" si="290"/>
        <v>2014</v>
      </c>
      <c r="I322" s="19">
        <f t="shared" si="290"/>
        <v>2015</v>
      </c>
      <c r="J322" s="19">
        <f t="shared" si="290"/>
        <v>2016</v>
      </c>
      <c r="K322" s="19">
        <f t="shared" si="290"/>
        <v>2017</v>
      </c>
      <c r="L322" s="19"/>
      <c r="M322" s="23" t="str">
        <f ca="1">OFFSET(Язык!$A$77,0,LANGUAGE)</f>
        <v>ИТОГО</v>
      </c>
    </row>
    <row r="323" spans="1:13" ht="12" customHeight="1" outlineLevel="1" thickTop="1"/>
    <row r="324" spans="1:13" ht="12" customHeight="1" outlineLevel="1">
      <c r="A324" s="85" t="str">
        <f ca="1">OFFSET(Язык!$A$140,0,LANGUAGE)</f>
        <v>Прямые производственные расходы</v>
      </c>
      <c r="B324" s="41"/>
      <c r="C324" s="41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2" customHeight="1" outlineLevel="1">
      <c r="A325" s="32"/>
    </row>
    <row r="326" spans="1:13" ht="12" customHeight="1" outlineLevel="1">
      <c r="A326" s="47" t="str">
        <f ca="1">OFFSET(Язык!$A$634,0,LANGUAGE)</f>
        <v>Расходы на материалы и комплектующие</v>
      </c>
      <c r="C326" s="6" t="str">
        <f ca="1">CUR_Main</f>
        <v>$</v>
      </c>
      <c r="G326" s="72">
        <f t="shared" ref="G326:J326" ca="1" si="291">G269+G270</f>
        <v>1462500</v>
      </c>
      <c r="H326" s="72">
        <f t="shared" ca="1" si="291"/>
        <v>3217499.9999999995</v>
      </c>
      <c r="I326" s="72">
        <f t="shared" ca="1" si="291"/>
        <v>3539250</v>
      </c>
      <c r="J326" s="72">
        <f t="shared" ca="1" si="291"/>
        <v>3893175</v>
      </c>
      <c r="K326" s="72">
        <f t="shared" ref="K326" ca="1" si="292">K269+K270</f>
        <v>4282492.5000000009</v>
      </c>
      <c r="M326" s="30">
        <f ca="1">SUM(G326:K326)</f>
        <v>16394917.5</v>
      </c>
    </row>
    <row r="327" spans="1:13" ht="12" customHeight="1" outlineLevel="1">
      <c r="A327" s="47" t="str">
        <f ca="1">OFFSET(Язык!$A$858,0,LANGUAGE)</f>
        <v>Зарплата основного производственного персонала</v>
      </c>
      <c r="C327" s="6" t="str">
        <f ca="1">CUR_Main</f>
        <v>$</v>
      </c>
      <c r="G327" s="26">
        <f t="shared" ref="G327:J327" ca="1" si="293">G306+G307</f>
        <v>72900</v>
      </c>
      <c r="H327" s="26">
        <f t="shared" si="293"/>
        <v>17820</v>
      </c>
      <c r="I327" s="26">
        <f t="shared" ca="1" si="293"/>
        <v>352836</v>
      </c>
      <c r="J327" s="26">
        <f t="shared" ca="1" si="293"/>
        <v>388119.60000000003</v>
      </c>
      <c r="K327" s="26">
        <f t="shared" ref="K327" ca="1" si="294">K306+K307</f>
        <v>426931.56</v>
      </c>
      <c r="M327" s="30">
        <f ca="1">SUM(G327:K327)</f>
        <v>1258607.1600000001</v>
      </c>
    </row>
    <row r="328" spans="1:13" ht="12" customHeight="1" outlineLevel="1">
      <c r="A328" s="47" t="str">
        <f ca="1">OFFSET(Язык!$A$859,0,LANGUAGE)</f>
        <v>ЕСН на зарплату основного произв. персонала</v>
      </c>
      <c r="C328" s="6" t="str">
        <f ca="1">CUR_Main</f>
        <v>$</v>
      </c>
      <c r="G328" s="26">
        <f t="shared" ref="G328:J328" ca="1" si="295">G313</f>
        <v>18954</v>
      </c>
      <c r="H328" s="26">
        <f t="shared" si="295"/>
        <v>4633.2</v>
      </c>
      <c r="I328" s="26">
        <f t="shared" ca="1" si="295"/>
        <v>91737.36</v>
      </c>
      <c r="J328" s="26">
        <f t="shared" ca="1" si="295"/>
        <v>100911.09600000002</v>
      </c>
      <c r="K328" s="26">
        <f t="shared" ref="K328" ca="1" si="296">K313</f>
        <v>111002.2056</v>
      </c>
      <c r="M328" s="30">
        <f ca="1">SUM(G328:K328)</f>
        <v>327237.8616</v>
      </c>
    </row>
    <row r="329" spans="1:13" ht="11.25" customHeight="1" outlineLevel="1">
      <c r="B329" s="12" t="str">
        <f ca="1">OFFSET(Язык!$A$78,0,LANGUAGE)</f>
        <v>Валюта</v>
      </c>
      <c r="E329" s="2">
        <v>1</v>
      </c>
    </row>
    <row r="330" spans="1:13" ht="11.25" customHeight="1" outlineLevel="1" collapsed="1">
      <c r="A330" s="5" t="s">
        <v>2273</v>
      </c>
      <c r="B330" s="7">
        <v>1</v>
      </c>
      <c r="C330" s="6" t="str">
        <f ca="1">CHOOSE(B330,CUR_Main,CUR_Foreign)</f>
        <v>$</v>
      </c>
      <c r="D330" s="2" t="str">
        <f>TEXT(B330,"0")&amp;"_01"</f>
        <v>1_01</v>
      </c>
      <c r="G330" s="40">
        <v>0</v>
      </c>
      <c r="H330" s="40">
        <f t="shared" ref="H330:K330" si="297">G330*CHOOSE($B330,H$94,H$104)</f>
        <v>0</v>
      </c>
      <c r="I330" s="40">
        <f t="shared" si="297"/>
        <v>0</v>
      </c>
      <c r="J330" s="40">
        <f t="shared" si="297"/>
        <v>0</v>
      </c>
      <c r="K330" s="40">
        <f t="shared" si="297"/>
        <v>0</v>
      </c>
      <c r="L330" s="26"/>
      <c r="M330" s="27">
        <f>SUM(G330:K330)</f>
        <v>0</v>
      </c>
    </row>
    <row r="331" spans="1:13" ht="11.25" hidden="1" customHeight="1" outlineLevel="2">
      <c r="A331" s="2" t="str">
        <f ca="1">OFFSET(Язык!$A$145,0,LANGUAGE)</f>
        <v xml:space="preserve">    в том числе НДС</v>
      </c>
      <c r="B331" s="50">
        <f>VAT</f>
        <v>0.12</v>
      </c>
      <c r="D331" s="2" t="str">
        <f>TEXT(B330,"0")&amp;"_02"</f>
        <v>1_02</v>
      </c>
      <c r="G331" s="26">
        <f t="shared" ref="G331:J331" si="298">G330*$B331/(1+$B331)</f>
        <v>0</v>
      </c>
      <c r="H331" s="26">
        <f t="shared" si="298"/>
        <v>0</v>
      </c>
      <c r="I331" s="26">
        <f t="shared" si="298"/>
        <v>0</v>
      </c>
      <c r="J331" s="26">
        <f t="shared" si="298"/>
        <v>0</v>
      </c>
      <c r="K331" s="26">
        <f t="shared" ref="K331" si="299">K330*$B331/(1+$B331)</f>
        <v>0</v>
      </c>
      <c r="L331" s="26"/>
      <c r="M331" s="30">
        <f>SUM(G331:K331)</f>
        <v>0</v>
      </c>
    </row>
    <row r="332" spans="1:13" ht="11.25" customHeight="1" outlineLevel="1">
      <c r="G332" s="26"/>
      <c r="H332" s="26"/>
      <c r="I332" s="26"/>
      <c r="J332" s="26"/>
      <c r="K332" s="26"/>
      <c r="L332" s="26"/>
      <c r="M332" s="26"/>
    </row>
    <row r="333" spans="1:13" ht="11.25" customHeight="1" outlineLevel="1">
      <c r="A333" s="85" t="str">
        <f ca="1">OFFSET(Язык!$A$141,0,LANGUAGE)</f>
        <v>Общие производственные расходы</v>
      </c>
      <c r="B333" s="41"/>
      <c r="C333" s="41"/>
      <c r="D333" s="43"/>
      <c r="E333" s="43"/>
      <c r="F333" s="43"/>
      <c r="G333" s="57"/>
      <c r="H333" s="57"/>
      <c r="I333" s="57"/>
      <c r="J333" s="57"/>
      <c r="K333" s="57"/>
      <c r="L333" s="57"/>
      <c r="M333" s="57"/>
    </row>
    <row r="334" spans="1:13" ht="11.25" customHeight="1" outlineLevel="1">
      <c r="A334" s="133"/>
      <c r="B334" s="12"/>
      <c r="C334" s="12"/>
      <c r="D334" s="11"/>
      <c r="E334" s="11"/>
      <c r="F334" s="11"/>
      <c r="G334" s="46"/>
      <c r="H334" s="46"/>
      <c r="I334" s="46"/>
      <c r="J334" s="46"/>
      <c r="K334" s="46"/>
      <c r="L334" s="46"/>
      <c r="M334" s="46"/>
    </row>
    <row r="335" spans="1:13" ht="11.25" customHeight="1" outlineLevel="1">
      <c r="A335" s="47" t="str">
        <f ca="1">OFFSET(Язык!$A$860,0,LANGUAGE)</f>
        <v>Зарплата вспомогательного произв. персонала</v>
      </c>
      <c r="C335" s="6" t="str">
        <f ca="1">CUR_Main</f>
        <v>$</v>
      </c>
      <c r="G335" s="72">
        <f t="shared" ref="G335:J335" si="300">G308</f>
        <v>0</v>
      </c>
      <c r="H335" s="72">
        <f t="shared" si="300"/>
        <v>0</v>
      </c>
      <c r="I335" s="72">
        <f t="shared" si="300"/>
        <v>0</v>
      </c>
      <c r="J335" s="72">
        <f t="shared" si="300"/>
        <v>0</v>
      </c>
      <c r="K335" s="72">
        <f t="shared" ref="K335" si="301">K308</f>
        <v>0</v>
      </c>
      <c r="M335" s="30">
        <f>SUM(G335:K335)</f>
        <v>0</v>
      </c>
    </row>
    <row r="336" spans="1:13" ht="11.25" customHeight="1" outlineLevel="1">
      <c r="A336" s="47" t="str">
        <f ca="1">OFFSET(Язык!$A$861,0,LANGUAGE)</f>
        <v>ЕСН на зарплату вспомогательного произв. персонала</v>
      </c>
      <c r="C336" s="6" t="str">
        <f ca="1">CUR_Main</f>
        <v>$</v>
      </c>
      <c r="G336" s="72">
        <f t="shared" ref="G336:J336" si="302">G314</f>
        <v>0</v>
      </c>
      <c r="H336" s="72">
        <f t="shared" si="302"/>
        <v>0</v>
      </c>
      <c r="I336" s="72">
        <f t="shared" si="302"/>
        <v>0</v>
      </c>
      <c r="J336" s="72">
        <f t="shared" si="302"/>
        <v>0</v>
      </c>
      <c r="K336" s="72">
        <f t="shared" ref="K336" si="303">K314</f>
        <v>0</v>
      </c>
      <c r="M336" s="30">
        <f>SUM(G336:K336)</f>
        <v>0</v>
      </c>
    </row>
    <row r="337" spans="1:13" ht="11.25" customHeight="1" outlineLevel="1">
      <c r="A337" s="47" t="str">
        <f ca="1">OFFSET(Язык!$A$636,0,LANGUAGE)</f>
        <v>Амортизация</v>
      </c>
      <c r="C337" s="6" t="str">
        <f ca="1">CUR_Main</f>
        <v>$</v>
      </c>
      <c r="G337" s="72">
        <f t="shared" ref="G337:J337" ca="1" si="304">G466+G478+G491+G529</f>
        <v>0</v>
      </c>
      <c r="H337" s="72">
        <f t="shared" ca="1" si="304"/>
        <v>303316.96428571432</v>
      </c>
      <c r="I337" s="72">
        <f t="shared" ca="1" si="304"/>
        <v>303316.96428571432</v>
      </c>
      <c r="J337" s="72">
        <f t="shared" ca="1" si="304"/>
        <v>303316.96428571432</v>
      </c>
      <c r="K337" s="72">
        <f t="shared" ref="K337" ca="1" si="305">K466+K478+K491+K529</f>
        <v>303316.96428571432</v>
      </c>
      <c r="M337" s="30">
        <f ca="1">SUM(G337:K337)</f>
        <v>1213267.8571428573</v>
      </c>
    </row>
    <row r="338" spans="1:13" ht="11.25" customHeight="1" outlineLevel="1">
      <c r="A338" s="47" t="str">
        <f ca="1">OFFSET(Язык!$A$882,0,LANGUAGE)</f>
        <v>Земельный и другие налоги, относимые на текущие затраты</v>
      </c>
      <c r="C338" s="6" t="str">
        <f ca="1">CUR_Main</f>
        <v>$</v>
      </c>
      <c r="G338" s="72">
        <f t="shared" ref="G338:J338" si="306">G706+G710</f>
        <v>0</v>
      </c>
      <c r="H338" s="72">
        <f t="shared" si="306"/>
        <v>0</v>
      </c>
      <c r="I338" s="72">
        <f t="shared" si="306"/>
        <v>0</v>
      </c>
      <c r="J338" s="72">
        <f t="shared" si="306"/>
        <v>0</v>
      </c>
      <c r="K338" s="72">
        <f t="shared" ref="K338" si="307">K706+K710</f>
        <v>0</v>
      </c>
      <c r="M338" s="30">
        <f>SUM(G338:K338)</f>
        <v>0</v>
      </c>
    </row>
    <row r="339" spans="1:13" ht="11.25" customHeight="1" outlineLevel="1">
      <c r="B339" s="12" t="str">
        <f ca="1">OFFSET(Язык!$A$78,0,LANGUAGE)</f>
        <v>Валюта</v>
      </c>
      <c r="E339" s="2">
        <v>1</v>
      </c>
      <c r="G339" s="26"/>
      <c r="H339" s="26"/>
      <c r="I339" s="26"/>
      <c r="J339" s="26"/>
      <c r="K339" s="26"/>
      <c r="L339" s="26"/>
      <c r="M339" s="26"/>
    </row>
    <row r="340" spans="1:13" ht="11.25" customHeight="1" outlineLevel="1" collapsed="1">
      <c r="A340" s="241" t="s">
        <v>2396</v>
      </c>
      <c r="B340" s="7">
        <v>1</v>
      </c>
      <c r="C340" s="6" t="str">
        <f ca="1">CHOOSE(B340,CUR_Main,CUR_Foreign)</f>
        <v>$</v>
      </c>
      <c r="D340" s="2" t="str">
        <f>TEXT(B340,"0")&amp;"_01"</f>
        <v>1_01</v>
      </c>
      <c r="G340" s="40">
        <v>2925</v>
      </c>
      <c r="H340" s="40">
        <v>5850</v>
      </c>
      <c r="I340" s="40">
        <f t="shared" ref="I340:K340" si="308">H340*CHOOSE($B340,I$94,I$104)</f>
        <v>6435.0000000000009</v>
      </c>
      <c r="J340" s="40">
        <f t="shared" si="308"/>
        <v>7078.5000000000018</v>
      </c>
      <c r="K340" s="40">
        <f t="shared" si="308"/>
        <v>7786.3500000000022</v>
      </c>
      <c r="L340" s="26"/>
      <c r="M340" s="27">
        <f>SUM(G340:K340)</f>
        <v>30074.850000000002</v>
      </c>
    </row>
    <row r="341" spans="1:13" ht="11.25" hidden="1" customHeight="1" outlineLevel="2">
      <c r="A341" s="2" t="str">
        <f ca="1">OFFSET(Язык!$A$145,0,LANGUAGE)</f>
        <v xml:space="preserve">    в том числе НДС</v>
      </c>
      <c r="B341" s="50">
        <f>VAT</f>
        <v>0.12</v>
      </c>
      <c r="D341" s="2" t="str">
        <f>TEXT(B340,"0")&amp;"_02"</f>
        <v>1_02</v>
      </c>
      <c r="G341" s="26">
        <f t="shared" ref="G341:J341" si="309">G340*$B341/(1+$B341)</f>
        <v>313.39285714285711</v>
      </c>
      <c r="H341" s="26">
        <f t="shared" si="309"/>
        <v>626.78571428571422</v>
      </c>
      <c r="I341" s="26">
        <f t="shared" si="309"/>
        <v>689.46428571428567</v>
      </c>
      <c r="J341" s="26">
        <f t="shared" si="309"/>
        <v>758.41071428571433</v>
      </c>
      <c r="K341" s="26">
        <f t="shared" ref="K341" si="310">K340*$B341/(1+$B341)</f>
        <v>834.2517857142858</v>
      </c>
      <c r="L341" s="26"/>
      <c r="M341" s="30">
        <f>SUM(G341:K341)</f>
        <v>3222.3053571428568</v>
      </c>
    </row>
    <row r="342" spans="1:13" ht="11.25" customHeight="1" outlineLevel="1">
      <c r="G342" s="26"/>
      <c r="H342" s="26"/>
      <c r="I342" s="26"/>
      <c r="J342" s="26"/>
      <c r="K342" s="26"/>
      <c r="L342" s="26"/>
      <c r="M342" s="26"/>
    </row>
    <row r="343" spans="1:13" ht="11.25" customHeight="1" outlineLevel="1">
      <c r="A343" s="85" t="str">
        <f ca="1">OFFSET(Язык!$A$142,0,LANGUAGE)</f>
        <v>Административные расходы</v>
      </c>
      <c r="B343" s="41"/>
      <c r="C343" s="41"/>
      <c r="D343" s="43"/>
      <c r="E343" s="43"/>
      <c r="F343" s="43"/>
      <c r="G343" s="57"/>
      <c r="H343" s="57"/>
      <c r="I343" s="57"/>
      <c r="J343" s="57"/>
      <c r="K343" s="57"/>
      <c r="L343" s="57"/>
      <c r="M343" s="57"/>
    </row>
    <row r="344" spans="1:13" ht="11.25" customHeight="1" outlineLevel="1">
      <c r="A344" s="133"/>
      <c r="B344" s="12"/>
      <c r="C344" s="12"/>
      <c r="D344" s="11"/>
      <c r="E344" s="11"/>
      <c r="F344" s="11"/>
      <c r="G344" s="46"/>
      <c r="H344" s="46"/>
      <c r="I344" s="46"/>
      <c r="J344" s="46"/>
      <c r="K344" s="46"/>
      <c r="L344" s="46"/>
      <c r="M344" s="46"/>
    </row>
    <row r="345" spans="1:13" ht="11.25" customHeight="1" outlineLevel="1">
      <c r="A345" s="47" t="str">
        <f ca="1">OFFSET(Язык!$A$864,0,LANGUAGE)</f>
        <v>Зарплата административного персонала</v>
      </c>
      <c r="B345" s="12"/>
      <c r="C345" s="6" t="str">
        <f ca="1">CUR_Main</f>
        <v>$</v>
      </c>
      <c r="D345" s="11"/>
      <c r="E345" s="11"/>
      <c r="F345" s="11"/>
      <c r="G345" s="46">
        <f t="shared" ref="G345:J345" si="311">G309</f>
        <v>6000</v>
      </c>
      <c r="H345" s="46">
        <f t="shared" si="311"/>
        <v>26400</v>
      </c>
      <c r="I345" s="46">
        <f t="shared" si="311"/>
        <v>29040</v>
      </c>
      <c r="J345" s="46">
        <f t="shared" si="311"/>
        <v>31944</v>
      </c>
      <c r="K345" s="46">
        <f t="shared" ref="K345" si="312">K309</f>
        <v>35138.400000000001</v>
      </c>
      <c r="L345" s="46"/>
      <c r="M345" s="30">
        <f>SUM(G345:K345)</f>
        <v>128522.4</v>
      </c>
    </row>
    <row r="346" spans="1:13" ht="11.25" customHeight="1" outlineLevel="1">
      <c r="A346" s="47" t="str">
        <f ca="1">OFFSET(Язык!$A$865,0,LANGUAGE)</f>
        <v>ЕСН на зарплату административного персонала</v>
      </c>
      <c r="B346" s="12"/>
      <c r="C346" s="6" t="str">
        <f ca="1">CUR_Main</f>
        <v>$</v>
      </c>
      <c r="D346" s="11"/>
      <c r="E346" s="11"/>
      <c r="F346" s="11"/>
      <c r="G346" s="46">
        <f t="shared" ref="G346:J346" si="313">G315</f>
        <v>1560</v>
      </c>
      <c r="H346" s="46">
        <f t="shared" si="313"/>
        <v>6864</v>
      </c>
      <c r="I346" s="46">
        <f t="shared" si="313"/>
        <v>7550.4000000000005</v>
      </c>
      <c r="J346" s="46">
        <f t="shared" si="313"/>
        <v>8305.44</v>
      </c>
      <c r="K346" s="46">
        <f t="shared" ref="K346" si="314">K315</f>
        <v>9135.9840000000004</v>
      </c>
      <c r="L346" s="46"/>
      <c r="M346" s="30">
        <f>SUM(G346:K346)</f>
        <v>33415.824000000008</v>
      </c>
    </row>
    <row r="347" spans="1:13" ht="11.25" customHeight="1" outlineLevel="1">
      <c r="B347" s="12" t="str">
        <f ca="1">OFFSET(Язык!$A$78,0,LANGUAGE)</f>
        <v>Валюта</v>
      </c>
      <c r="E347" s="2">
        <v>1</v>
      </c>
      <c r="G347" s="26"/>
      <c r="H347" s="26"/>
      <c r="I347" s="26"/>
      <c r="J347" s="26"/>
      <c r="K347" s="26"/>
      <c r="L347" s="26"/>
      <c r="M347" s="26"/>
    </row>
    <row r="348" spans="1:13" ht="11.25" customHeight="1" outlineLevel="1" collapsed="1">
      <c r="A348" s="241" t="s">
        <v>2397</v>
      </c>
      <c r="B348" s="7">
        <v>1</v>
      </c>
      <c r="C348" s="6" t="str">
        <f ca="1">CHOOSE(B348,CUR_Main,CUR_Foreign)</f>
        <v>$</v>
      </c>
      <c r="D348" s="2" t="str">
        <f>TEXT(B348,"0")&amp;"_01"</f>
        <v>1_01</v>
      </c>
      <c r="G348" s="40">
        <v>350000</v>
      </c>
      <c r="H348" s="40">
        <f t="shared" ref="H348:K348" si="315">G348*CHOOSE($B348,H$94,H$104)</f>
        <v>385000.00000000006</v>
      </c>
      <c r="I348" s="40">
        <f t="shared" si="315"/>
        <v>423500.00000000012</v>
      </c>
      <c r="J348" s="40">
        <f t="shared" si="315"/>
        <v>465850.00000000017</v>
      </c>
      <c r="K348" s="40">
        <f t="shared" si="315"/>
        <v>512435.00000000023</v>
      </c>
      <c r="L348" s="26"/>
      <c r="M348" s="27">
        <f>SUM(G348:K348)</f>
        <v>2136785.0000000005</v>
      </c>
    </row>
    <row r="349" spans="1:13" ht="11.25" hidden="1" customHeight="1" outlineLevel="2">
      <c r="A349" s="2" t="str">
        <f ca="1">OFFSET(Язык!$A$145,0,LANGUAGE)</f>
        <v xml:space="preserve">    в том числе НДС</v>
      </c>
      <c r="B349" s="50">
        <f>VAT</f>
        <v>0.12</v>
      </c>
      <c r="D349" s="2" t="str">
        <f>TEXT(B348,"0")&amp;"_02"</f>
        <v>1_02</v>
      </c>
      <c r="G349" s="26">
        <f t="shared" ref="G349:J349" si="316">G348*$B349/(1+$B349)</f>
        <v>37500</v>
      </c>
      <c r="H349" s="26">
        <f t="shared" si="316"/>
        <v>41250</v>
      </c>
      <c r="I349" s="26">
        <f t="shared" si="316"/>
        <v>45375.000000000007</v>
      </c>
      <c r="J349" s="26">
        <f t="shared" si="316"/>
        <v>49912.500000000015</v>
      </c>
      <c r="K349" s="26">
        <f t="shared" ref="K349" si="317">K348*$B349/(1+$B349)</f>
        <v>54903.750000000015</v>
      </c>
      <c r="L349" s="26"/>
      <c r="M349" s="30">
        <f>SUM(G349:K349)</f>
        <v>228941.25</v>
      </c>
    </row>
    <row r="350" spans="1:13" ht="11.25" customHeight="1" outlineLevel="1">
      <c r="G350" s="26"/>
      <c r="H350" s="26"/>
      <c r="I350" s="26"/>
      <c r="J350" s="26"/>
      <c r="K350" s="26"/>
      <c r="L350" s="26"/>
      <c r="M350" s="26"/>
    </row>
    <row r="351" spans="1:13" ht="11.25" customHeight="1" outlineLevel="1">
      <c r="A351" s="85" t="str">
        <f ca="1">OFFSET(Язык!$A$143,0,LANGUAGE)</f>
        <v>Коммерческие расходы</v>
      </c>
      <c r="B351" s="41"/>
      <c r="C351" s="41"/>
      <c r="D351" s="43"/>
      <c r="E351" s="43"/>
      <c r="F351" s="43"/>
      <c r="G351" s="57"/>
      <c r="H351" s="57"/>
      <c r="I351" s="57"/>
      <c r="J351" s="57"/>
      <c r="K351" s="57"/>
      <c r="L351" s="57"/>
      <c r="M351" s="57"/>
    </row>
    <row r="352" spans="1:13" ht="11.25" customHeight="1" outlineLevel="1">
      <c r="A352" s="133"/>
      <c r="B352" s="12"/>
      <c r="C352" s="12"/>
      <c r="D352" s="11"/>
      <c r="E352" s="11"/>
      <c r="F352" s="11"/>
      <c r="G352" s="46"/>
      <c r="H352" s="46"/>
      <c r="I352" s="46"/>
      <c r="J352" s="46"/>
      <c r="K352" s="46"/>
      <c r="L352" s="46"/>
      <c r="M352" s="46"/>
    </row>
    <row r="353" spans="1:13" ht="11.25" customHeight="1" outlineLevel="1">
      <c r="A353" s="47" t="str">
        <f ca="1">OFFSET(Язык!$A$862,0,LANGUAGE)</f>
        <v>Зарплата коммерческого персонала</v>
      </c>
      <c r="B353" s="12"/>
      <c r="C353" s="6" t="str">
        <f ca="1">CUR_Main</f>
        <v>$</v>
      </c>
      <c r="D353" s="11"/>
      <c r="E353" s="11"/>
      <c r="F353" s="11"/>
      <c r="G353" s="46">
        <f t="shared" ref="G353:J353" si="318">G310</f>
        <v>0</v>
      </c>
      <c r="H353" s="46">
        <f t="shared" si="318"/>
        <v>0</v>
      </c>
      <c r="I353" s="46">
        <f t="shared" si="318"/>
        <v>0</v>
      </c>
      <c r="J353" s="46">
        <f t="shared" si="318"/>
        <v>0</v>
      </c>
      <c r="K353" s="46">
        <f t="shared" ref="K353" si="319">K310</f>
        <v>0</v>
      </c>
      <c r="L353" s="46"/>
      <c r="M353" s="30">
        <f>SUM(G353:K353)</f>
        <v>0</v>
      </c>
    </row>
    <row r="354" spans="1:13" ht="11.25" customHeight="1" outlineLevel="1">
      <c r="A354" s="47" t="str">
        <f ca="1">OFFSET(Язык!$A$863,0,LANGUAGE)</f>
        <v>ЕСН на зарплату коммерческого персонала</v>
      </c>
      <c r="B354" s="12"/>
      <c r="C354" s="6" t="str">
        <f ca="1">CUR_Main</f>
        <v>$</v>
      </c>
      <c r="D354" s="11"/>
      <c r="E354" s="11"/>
      <c r="F354" s="11"/>
      <c r="G354" s="46">
        <f t="shared" ref="G354:J354" si="320">G316</f>
        <v>0</v>
      </c>
      <c r="H354" s="46">
        <f t="shared" si="320"/>
        <v>0</v>
      </c>
      <c r="I354" s="46">
        <f t="shared" si="320"/>
        <v>0</v>
      </c>
      <c r="J354" s="46">
        <f t="shared" si="320"/>
        <v>0</v>
      </c>
      <c r="K354" s="46">
        <f t="shared" ref="K354" si="321">K316</f>
        <v>0</v>
      </c>
      <c r="L354" s="46"/>
      <c r="M354" s="30">
        <f>SUM(G354:K354)</f>
        <v>0</v>
      </c>
    </row>
    <row r="355" spans="1:13" ht="11.25" customHeight="1" outlineLevel="1">
      <c r="B355" s="12" t="str">
        <f ca="1">OFFSET(Язык!$A$78,0,LANGUAGE)</f>
        <v>Валюта</v>
      </c>
      <c r="E355" s="2">
        <v>1</v>
      </c>
      <c r="G355" s="26"/>
      <c r="H355" s="26"/>
      <c r="I355" s="26"/>
      <c r="J355" s="26"/>
      <c r="K355" s="26"/>
      <c r="L355" s="26"/>
      <c r="M355" s="26"/>
    </row>
    <row r="356" spans="1:13" ht="11.25" customHeight="1" outlineLevel="1" collapsed="1">
      <c r="A356" s="5" t="s">
        <v>2273</v>
      </c>
      <c r="B356" s="7">
        <v>1</v>
      </c>
      <c r="C356" s="6" t="str">
        <f ca="1">CHOOSE(B356,CUR_Main,CUR_Foreign)</f>
        <v>$</v>
      </c>
      <c r="D356" s="2" t="str">
        <f>TEXT(B356,"0")&amp;"_01"</f>
        <v>1_01</v>
      </c>
      <c r="G356" s="40">
        <v>0</v>
      </c>
      <c r="H356" s="40">
        <f t="shared" ref="H356:K356" si="322">G356*CHOOSE($B356,H$94,H$104)</f>
        <v>0</v>
      </c>
      <c r="I356" s="40">
        <f t="shared" si="322"/>
        <v>0</v>
      </c>
      <c r="J356" s="40">
        <f t="shared" si="322"/>
        <v>0</v>
      </c>
      <c r="K356" s="40">
        <f t="shared" si="322"/>
        <v>0</v>
      </c>
      <c r="L356" s="26"/>
      <c r="M356" s="27">
        <f>SUM(G356:K356)</f>
        <v>0</v>
      </c>
    </row>
    <row r="357" spans="1:13" ht="11.25" hidden="1" customHeight="1" outlineLevel="2">
      <c r="A357" s="2" t="str">
        <f ca="1">OFFSET(Язык!$A$145,0,LANGUAGE)</f>
        <v xml:space="preserve">    в том числе НДС</v>
      </c>
      <c r="B357" s="50">
        <v>0.18</v>
      </c>
      <c r="D357" s="2" t="str">
        <f>TEXT(B356,"0")&amp;"_02"</f>
        <v>1_02</v>
      </c>
      <c r="G357" s="26">
        <f t="shared" ref="G357:J357" si="323">G356*$B357/(1+$B357)</f>
        <v>0</v>
      </c>
      <c r="H357" s="26">
        <f t="shared" si="323"/>
        <v>0</v>
      </c>
      <c r="I357" s="26">
        <f t="shared" si="323"/>
        <v>0</v>
      </c>
      <c r="J357" s="26">
        <f t="shared" si="323"/>
        <v>0</v>
      </c>
      <c r="K357" s="26">
        <f t="shared" ref="K357" si="324">K356*$B357/(1+$B357)</f>
        <v>0</v>
      </c>
      <c r="L357" s="26"/>
      <c r="M357" s="30">
        <f>SUM(G357:K357)</f>
        <v>0</v>
      </c>
    </row>
    <row r="358" spans="1:13" ht="11.25" customHeight="1" outlineLevel="1">
      <c r="G358" s="26"/>
      <c r="H358" s="26"/>
      <c r="I358" s="26"/>
      <c r="J358" s="26"/>
      <c r="K358" s="26"/>
      <c r="L358" s="26"/>
      <c r="M358" s="30"/>
    </row>
    <row r="359" spans="1:13" ht="11.25" customHeight="1" outlineLevel="1" collapsed="1">
      <c r="A359" s="47" t="str">
        <f ca="1">OFFSET(Язык!$A$144,0,LANGUAGE)</f>
        <v>Коммерческие расходы как % от продаж</v>
      </c>
      <c r="B359" s="24">
        <v>0</v>
      </c>
      <c r="C359" s="6" t="str">
        <f ca="1">CUR_Main</f>
        <v>$</v>
      </c>
      <c r="D359" s="2" t="s">
        <v>2321</v>
      </c>
      <c r="G359" s="26">
        <f t="shared" ref="G359:J359" ca="1" si="325">G172*$B359</f>
        <v>0</v>
      </c>
      <c r="H359" s="26">
        <f t="shared" ca="1" si="325"/>
        <v>0</v>
      </c>
      <c r="I359" s="26">
        <f t="shared" ca="1" si="325"/>
        <v>0</v>
      </c>
      <c r="J359" s="26">
        <f t="shared" ca="1" si="325"/>
        <v>0</v>
      </c>
      <c r="K359" s="26">
        <f t="shared" ref="K359" ca="1" si="326">K172*$B359</f>
        <v>0</v>
      </c>
      <c r="L359" s="26"/>
      <c r="M359" s="27">
        <f ca="1">SUM(G359:K359)</f>
        <v>0</v>
      </c>
    </row>
    <row r="360" spans="1:13" ht="11.25" hidden="1" customHeight="1" outlineLevel="2">
      <c r="A360" s="2" t="str">
        <f ca="1">OFFSET(Язык!$A$145,0,LANGUAGE)</f>
        <v xml:space="preserve">    в том числе НДС</v>
      </c>
      <c r="B360" s="50">
        <v>0.18</v>
      </c>
      <c r="D360" s="2" t="s">
        <v>2315</v>
      </c>
      <c r="G360" s="26">
        <f t="shared" ref="G360:J360" ca="1" si="327">G359*$B360/(1+$B360)</f>
        <v>0</v>
      </c>
      <c r="H360" s="26">
        <f t="shared" ca="1" si="327"/>
        <v>0</v>
      </c>
      <c r="I360" s="26">
        <f t="shared" ca="1" si="327"/>
        <v>0</v>
      </c>
      <c r="J360" s="26">
        <f t="shared" ca="1" si="327"/>
        <v>0</v>
      </c>
      <c r="K360" s="26">
        <f t="shared" ref="K360" ca="1" si="328">K359*$B360/(1+$B360)</f>
        <v>0</v>
      </c>
      <c r="L360" s="26"/>
      <c r="M360" s="30">
        <f ca="1">SUM(G360:K360)</f>
        <v>0</v>
      </c>
    </row>
    <row r="361" spans="1:13" ht="11.25" customHeight="1" outlineLevel="1">
      <c r="A361" s="43"/>
      <c r="B361" s="41"/>
      <c r="C361" s="41"/>
      <c r="D361" s="43"/>
      <c r="E361" s="43"/>
      <c r="F361" s="43"/>
      <c r="G361" s="57"/>
      <c r="H361" s="57"/>
      <c r="I361" s="57"/>
      <c r="J361" s="57"/>
      <c r="K361" s="57"/>
      <c r="L361" s="57"/>
      <c r="M361" s="58"/>
    </row>
    <row r="362" spans="1:13" ht="11.25" customHeight="1" outlineLevel="1" collapsed="1">
      <c r="A362" s="133" t="str">
        <f ca="1">OFFSET(Язык!$A$845,0,LANGUAGE)</f>
        <v xml:space="preserve"> = Итого: затраты в отчете о прибылях и убытках</v>
      </c>
      <c r="B362" s="12"/>
      <c r="C362" s="6" t="str">
        <f t="shared" ref="C362:C383" ca="1" si="329">CUR_Main</f>
        <v>$</v>
      </c>
      <c r="D362" s="11"/>
      <c r="E362" s="11"/>
      <c r="F362" s="11"/>
      <c r="G362" s="46">
        <f t="shared" ref="G362:J362" ca="1" si="330">G255+G258+G307+G308+G309+G310+G312+G337+G376+G379+G382</f>
        <v>1720329.1785714284</v>
      </c>
      <c r="H362" s="46">
        <f t="shared" ca="1" si="330"/>
        <v>3580775.2357142852</v>
      </c>
      <c r="I362" s="46">
        <f t="shared" ca="1" si="330"/>
        <v>4328395.9028571434</v>
      </c>
      <c r="J362" s="46">
        <f t="shared" ca="1" si="330"/>
        <v>4730903.7967142863</v>
      </c>
      <c r="K362" s="46">
        <f t="shared" ref="K362" ca="1" si="331">K255+K258+K307+K308+K309+K310+K312+K337+K376+K379+K382</f>
        <v>5173662.4799571438</v>
      </c>
      <c r="L362" s="46"/>
      <c r="M362" s="27">
        <f t="shared" ref="M362:M383" ca="1" si="332">SUM(G362:K362)</f>
        <v>19534066.593814287</v>
      </c>
    </row>
    <row r="363" spans="1:13" ht="11.25" hidden="1" customHeight="1" outlineLevel="2">
      <c r="A363" s="45" t="str">
        <f ca="1">OFFSET(Язык!$A$378,0,LANGUAGE)</f>
        <v xml:space="preserve">    материалы и комплектующие</v>
      </c>
      <c r="B363" s="12"/>
      <c r="C363" s="6" t="str">
        <f t="shared" ca="1" si="329"/>
        <v>$</v>
      </c>
      <c r="D363" s="11"/>
      <c r="E363" s="11"/>
      <c r="F363" s="11"/>
      <c r="G363" s="46">
        <f t="shared" ref="G363:J363" si="333">G258</f>
        <v>1305803.5714285714</v>
      </c>
      <c r="H363" s="46">
        <f t="shared" si="333"/>
        <v>2872767.8571428568</v>
      </c>
      <c r="I363" s="46">
        <f t="shared" si="333"/>
        <v>3160044.6428571427</v>
      </c>
      <c r="J363" s="46">
        <f t="shared" si="333"/>
        <v>3476049.1071428573</v>
      </c>
      <c r="K363" s="46">
        <f t="shared" ref="K363" si="334">K258</f>
        <v>3823654.0178571437</v>
      </c>
      <c r="L363" s="46"/>
      <c r="M363" s="30">
        <f t="shared" si="332"/>
        <v>14638319.196428573</v>
      </c>
    </row>
    <row r="364" spans="1:13" ht="11.25" hidden="1" customHeight="1" outlineLevel="2">
      <c r="A364" s="45" t="str">
        <f ca="1">OFFSET(Язык!$A$379,0,LANGUAGE)</f>
        <v xml:space="preserve">    оплата труда</v>
      </c>
      <c r="B364" s="12"/>
      <c r="C364" s="6" t="str">
        <f t="shared" ca="1" si="329"/>
        <v>$</v>
      </c>
      <c r="D364" s="11"/>
      <c r="E364" s="11"/>
      <c r="F364" s="11"/>
      <c r="G364" s="46">
        <f t="shared" ref="G364:J364" ca="1" si="335">G255+G307+G308+G309+G310</f>
        <v>78900</v>
      </c>
      <c r="H364" s="46">
        <f t="shared" si="335"/>
        <v>44220</v>
      </c>
      <c r="I364" s="46">
        <f t="shared" ca="1" si="335"/>
        <v>381876</v>
      </c>
      <c r="J364" s="46">
        <f t="shared" ca="1" si="335"/>
        <v>420063.60000000003</v>
      </c>
      <c r="K364" s="46">
        <f t="shared" ref="K364" ca="1" si="336">K255+K307+K308+K309+K310</f>
        <v>462069.96</v>
      </c>
      <c r="L364" s="46"/>
      <c r="M364" s="30">
        <f t="shared" ca="1" si="332"/>
        <v>1387129.56</v>
      </c>
    </row>
    <row r="365" spans="1:13" ht="11.25" hidden="1" customHeight="1" outlineLevel="2">
      <c r="A365" s="45" t="str">
        <f ca="1">OFFSET(Язык!$A$380,0,LANGUAGE)</f>
        <v xml:space="preserve">    налоги, относимые на текущие затраты</v>
      </c>
      <c r="B365" s="12"/>
      <c r="C365" s="6" t="str">
        <f t="shared" ca="1" si="329"/>
        <v>$</v>
      </c>
      <c r="D365" s="11"/>
      <c r="E365" s="11"/>
      <c r="F365" s="11"/>
      <c r="G365" s="46">
        <f t="shared" ref="G365:J365" ca="1" si="337">G699+G706+G710</f>
        <v>20514</v>
      </c>
      <c r="H365" s="46">
        <f t="shared" si="337"/>
        <v>11497.2</v>
      </c>
      <c r="I365" s="46">
        <f t="shared" ca="1" si="337"/>
        <v>99287.76</v>
      </c>
      <c r="J365" s="46">
        <f t="shared" ca="1" si="337"/>
        <v>109216.53600000002</v>
      </c>
      <c r="K365" s="46">
        <f t="shared" ref="K365" ca="1" si="338">K699+K706+K710</f>
        <v>120138.1896</v>
      </c>
      <c r="L365" s="46"/>
      <c r="M365" s="30">
        <f t="shared" ca="1" si="332"/>
        <v>360653.68560000003</v>
      </c>
    </row>
    <row r="366" spans="1:13" ht="11.25" hidden="1" customHeight="1" outlineLevel="2">
      <c r="A366" s="45" t="str">
        <f ca="1">OFFSET(Язык!$A$381,0,LANGUAGE)</f>
        <v xml:space="preserve">    производственные расходы</v>
      </c>
      <c r="B366" s="12"/>
      <c r="C366" s="6" t="str">
        <f t="shared" ca="1" si="329"/>
        <v>$</v>
      </c>
      <c r="D366" s="11"/>
      <c r="E366" s="11"/>
      <c r="F366" s="11"/>
      <c r="G366" s="46">
        <f t="shared" ref="G366:J366" si="339">G376</f>
        <v>2611.6071428571431</v>
      </c>
      <c r="H366" s="46">
        <f t="shared" si="339"/>
        <v>5223.2142857142862</v>
      </c>
      <c r="I366" s="46">
        <f t="shared" si="339"/>
        <v>5745.5357142857156</v>
      </c>
      <c r="J366" s="46">
        <f t="shared" si="339"/>
        <v>6320.0892857142871</v>
      </c>
      <c r="K366" s="46">
        <f t="shared" ref="K366" si="340">K376</f>
        <v>6952.0982142857165</v>
      </c>
      <c r="L366" s="46"/>
      <c r="M366" s="30">
        <f t="shared" si="332"/>
        <v>26852.544642857149</v>
      </c>
    </row>
    <row r="367" spans="1:13" ht="11.25" hidden="1" customHeight="1" outlineLevel="2">
      <c r="A367" s="45" t="str">
        <f ca="1">OFFSET(Язык!$A$382,0,LANGUAGE)</f>
        <v xml:space="preserve">    начисленные лизинговые платежи</v>
      </c>
      <c r="B367" s="12"/>
      <c r="C367" s="6" t="str">
        <f t="shared" ca="1" si="329"/>
        <v>$</v>
      </c>
      <c r="D367" s="11"/>
      <c r="E367" s="11"/>
      <c r="F367" s="11"/>
      <c r="G367" s="46">
        <f t="shared" ref="G367:J367" ca="1" si="341">G520</f>
        <v>0</v>
      </c>
      <c r="H367" s="46">
        <f t="shared" ca="1" si="341"/>
        <v>0</v>
      </c>
      <c r="I367" s="46">
        <f t="shared" ca="1" si="341"/>
        <v>0</v>
      </c>
      <c r="J367" s="46">
        <f t="shared" ca="1" si="341"/>
        <v>0</v>
      </c>
      <c r="K367" s="46">
        <f t="shared" ref="K367" ca="1" si="342">K520</f>
        <v>0</v>
      </c>
      <c r="L367" s="46"/>
      <c r="M367" s="30">
        <f t="shared" ca="1" si="332"/>
        <v>0</v>
      </c>
    </row>
    <row r="368" spans="1:13" ht="11.25" hidden="1" customHeight="1" outlineLevel="2">
      <c r="A368" s="45" t="str">
        <f ca="1">OFFSET(Язык!$A$383,0,LANGUAGE)</f>
        <v xml:space="preserve">    амортизация</v>
      </c>
      <c r="B368" s="236"/>
      <c r="C368" s="6" t="str">
        <f t="shared" ca="1" si="329"/>
        <v>$</v>
      </c>
      <c r="D368" s="45"/>
      <c r="E368" s="45"/>
      <c r="F368" s="45"/>
      <c r="G368" s="237">
        <f t="shared" ref="G368:J368" ca="1" si="343">G337</f>
        <v>0</v>
      </c>
      <c r="H368" s="237">
        <f t="shared" ca="1" si="343"/>
        <v>303316.96428571432</v>
      </c>
      <c r="I368" s="237">
        <f t="shared" ca="1" si="343"/>
        <v>303316.96428571432</v>
      </c>
      <c r="J368" s="237">
        <f t="shared" ca="1" si="343"/>
        <v>303316.96428571432</v>
      </c>
      <c r="K368" s="237">
        <f t="shared" ref="K368" ca="1" si="344">K337</f>
        <v>303316.96428571432</v>
      </c>
      <c r="L368" s="237"/>
      <c r="M368" s="30">
        <f t="shared" ca="1" si="332"/>
        <v>1213267.8571428573</v>
      </c>
    </row>
    <row r="369" spans="1:13" ht="11.25" hidden="1" customHeight="1" outlineLevel="2">
      <c r="A369" s="45" t="str">
        <f ca="1">OFFSET(Язык!$A$847,0,LANGUAGE)</f>
        <v xml:space="preserve">    коммерческие расходы</v>
      </c>
      <c r="B369" s="236"/>
      <c r="C369" s="6" t="str">
        <f t="shared" ca="1" si="329"/>
        <v>$</v>
      </c>
      <c r="D369" s="45"/>
      <c r="E369" s="45"/>
      <c r="F369" s="45"/>
      <c r="G369" s="237">
        <f t="shared" ref="G369:J369" ca="1" si="345">G382</f>
        <v>0</v>
      </c>
      <c r="H369" s="237">
        <f t="shared" ca="1" si="345"/>
        <v>0</v>
      </c>
      <c r="I369" s="237">
        <f t="shared" ca="1" si="345"/>
        <v>0</v>
      </c>
      <c r="J369" s="237">
        <f t="shared" ca="1" si="345"/>
        <v>0</v>
      </c>
      <c r="K369" s="237">
        <f t="shared" ref="K369" ca="1" si="346">K382</f>
        <v>0</v>
      </c>
      <c r="L369" s="237"/>
      <c r="M369" s="30">
        <f t="shared" ca="1" si="332"/>
        <v>0</v>
      </c>
    </row>
    <row r="370" spans="1:13" ht="11.25" hidden="1" customHeight="1" outlineLevel="2">
      <c r="A370" s="45" t="str">
        <f ca="1">OFFSET(Язык!$A$848,0,LANGUAGE)</f>
        <v xml:space="preserve">    административные расходы</v>
      </c>
      <c r="B370" s="236"/>
      <c r="C370" s="6" t="str">
        <f t="shared" ca="1" si="329"/>
        <v>$</v>
      </c>
      <c r="D370" s="45"/>
      <c r="E370" s="45"/>
      <c r="F370" s="45"/>
      <c r="G370" s="237">
        <f t="shared" ref="G370:J370" si="347">G379</f>
        <v>312500</v>
      </c>
      <c r="H370" s="237">
        <f t="shared" si="347"/>
        <v>343750.00000000006</v>
      </c>
      <c r="I370" s="237">
        <f t="shared" si="347"/>
        <v>378125.00000000012</v>
      </c>
      <c r="J370" s="237">
        <f t="shared" si="347"/>
        <v>415937.50000000017</v>
      </c>
      <c r="K370" s="237">
        <f t="shared" ref="K370" si="348">K379</f>
        <v>457531.25000000023</v>
      </c>
      <c r="L370" s="237"/>
      <c r="M370" s="30">
        <f t="shared" si="332"/>
        <v>1907843.7500000005</v>
      </c>
    </row>
    <row r="371" spans="1:13" ht="11.25" customHeight="1" outlineLevel="1" collapsed="1">
      <c r="A371" s="32" t="str">
        <f ca="1">OFFSET(Язык!$A$844,0,LANGUAGE)</f>
        <v xml:space="preserve"> = Итого: оплата текущих расходов</v>
      </c>
      <c r="C371" s="6" t="str">
        <f t="shared" ca="1" si="329"/>
        <v>$</v>
      </c>
      <c r="G371" s="26">
        <f t="shared" ref="G371:J371" ca="1" si="349">SUM(G372:G373)+G375+G378+G381</f>
        <v>1914839</v>
      </c>
      <c r="H371" s="26">
        <f t="shared" ca="1" si="349"/>
        <v>3664067.1999999997</v>
      </c>
      <c r="I371" s="26">
        <f t="shared" ca="1" si="349"/>
        <v>4450348.76</v>
      </c>
      <c r="J371" s="26">
        <f t="shared" ca="1" si="349"/>
        <v>4895383.6359999999</v>
      </c>
      <c r="K371" s="26">
        <f t="shared" ref="K371" ca="1" si="350">SUM(K372:K373)+K375+K378+K381</f>
        <v>5384921.9996000007</v>
      </c>
      <c r="L371" s="26"/>
      <c r="M371" s="27">
        <f t="shared" ca="1" si="332"/>
        <v>20309560.595600002</v>
      </c>
    </row>
    <row r="372" spans="1:13" ht="11.25" hidden="1" customHeight="1" outlineLevel="2">
      <c r="A372" s="47" t="str">
        <f ca="1">"    " &amp; OFFSET(Язык!$A$634,0,LANGUAGE)</f>
        <v xml:space="preserve">    Расходы на материалы и комплектующие</v>
      </c>
      <c r="C372" s="6" t="str">
        <f t="shared" ca="1" si="329"/>
        <v>$</v>
      </c>
      <c r="G372" s="26">
        <f t="shared" ref="G372:J372" ca="1" si="351">G326</f>
        <v>1462500</v>
      </c>
      <c r="H372" s="26">
        <f t="shared" ca="1" si="351"/>
        <v>3217499.9999999995</v>
      </c>
      <c r="I372" s="26">
        <f t="shared" ca="1" si="351"/>
        <v>3539250</v>
      </c>
      <c r="J372" s="26">
        <f t="shared" ca="1" si="351"/>
        <v>3893175</v>
      </c>
      <c r="K372" s="26">
        <f t="shared" ref="K372" ca="1" si="352">K326</f>
        <v>4282492.5000000009</v>
      </c>
      <c r="L372" s="26"/>
      <c r="M372" s="30">
        <f t="shared" ca="1" si="332"/>
        <v>16394917.5</v>
      </c>
    </row>
    <row r="373" spans="1:13" ht="11.25" hidden="1" customHeight="1" outlineLevel="2">
      <c r="A373" s="47" t="str">
        <f ca="1">"    " &amp; OFFSET(Язык!$A$635,0,LANGUAGE)</f>
        <v xml:space="preserve">    Затраты на оплату труда (включая ЕСН и страхов.)</v>
      </c>
      <c r="C373" s="6" t="str">
        <f t="shared" ca="1" si="329"/>
        <v>$</v>
      </c>
      <c r="G373" s="26">
        <f t="shared" ref="G373:J373" ca="1" si="353">G317</f>
        <v>99414</v>
      </c>
      <c r="H373" s="26">
        <f t="shared" si="353"/>
        <v>55717.2</v>
      </c>
      <c r="I373" s="26">
        <f t="shared" ca="1" si="353"/>
        <v>481163.76</v>
      </c>
      <c r="J373" s="26">
        <f t="shared" ca="1" si="353"/>
        <v>529280.13600000006</v>
      </c>
      <c r="K373" s="26">
        <f t="shared" ref="K373" ca="1" si="354">K317</f>
        <v>582208.1496</v>
      </c>
      <c r="L373" s="26"/>
      <c r="M373" s="30">
        <f t="shared" ca="1" si="332"/>
        <v>1747783.2456</v>
      </c>
    </row>
    <row r="374" spans="1:13" ht="11.25" hidden="1" customHeight="1" outlineLevel="2">
      <c r="A374" s="47" t="str">
        <f ca="1">"    " &amp; OFFSET(Язык!$A$882,0,LANGUAGE)</f>
        <v xml:space="preserve">    Земельный и другие налоги, относимые на текущие затраты</v>
      </c>
      <c r="C374" s="6" t="str">
        <f t="shared" ca="1" si="329"/>
        <v>$</v>
      </c>
      <c r="G374" s="26">
        <f t="shared" ref="G374:J374" si="355">G338</f>
        <v>0</v>
      </c>
      <c r="H374" s="26">
        <f t="shared" si="355"/>
        <v>0</v>
      </c>
      <c r="I374" s="26">
        <f t="shared" si="355"/>
        <v>0</v>
      </c>
      <c r="J374" s="26">
        <f t="shared" si="355"/>
        <v>0</v>
      </c>
      <c r="K374" s="26">
        <f t="shared" ref="K374" si="356">K338</f>
        <v>0</v>
      </c>
      <c r="L374" s="26"/>
      <c r="M374" s="30">
        <f t="shared" si="332"/>
        <v>0</v>
      </c>
    </row>
    <row r="375" spans="1:13" ht="11.25" hidden="1" customHeight="1" outlineLevel="2">
      <c r="A375" s="2" t="str">
        <f ca="1">OFFSET(Язык!$A$146,0,LANGUAGE)</f>
        <v xml:space="preserve">    Производственные расходы</v>
      </c>
      <c r="C375" s="6" t="str">
        <f t="shared" ca="1" si="329"/>
        <v>$</v>
      </c>
      <c r="G375" s="26">
        <f t="shared" ref="G375:J375" si="357">SUMIF($D329:$D342,"*1_01*",G329:G342)+SUMIF($D329:$D342,"*2_01*",G329:G342)*G$98</f>
        <v>2925</v>
      </c>
      <c r="H375" s="26">
        <f t="shared" si="357"/>
        <v>5850</v>
      </c>
      <c r="I375" s="26">
        <f t="shared" si="357"/>
        <v>6435.0000000000009</v>
      </c>
      <c r="J375" s="26">
        <f t="shared" si="357"/>
        <v>7078.5000000000018</v>
      </c>
      <c r="K375" s="26">
        <f t="shared" ref="K375" si="358">SUMIF($D329:$D342,"*1_01*",K329:K342)+SUMIF($D329:$D342,"*2_01*",K329:K342)*K$98</f>
        <v>7786.3500000000022</v>
      </c>
      <c r="L375" s="26"/>
      <c r="M375" s="30">
        <f t="shared" si="332"/>
        <v>30074.850000000002</v>
      </c>
    </row>
    <row r="376" spans="1:13" ht="11.25" hidden="1" customHeight="1" outlineLevel="2">
      <c r="A376" s="2" t="str">
        <f ca="1">OFFSET(Язык!$A$147,0,LANGUAGE)</f>
        <v xml:space="preserve">        сумма без НДС</v>
      </c>
      <c r="C376" s="6" t="str">
        <f t="shared" ca="1" si="329"/>
        <v>$</v>
      </c>
      <c r="G376" s="26">
        <f t="shared" ref="G376:J376" si="359">G375-G377</f>
        <v>2611.6071428571431</v>
      </c>
      <c r="H376" s="26">
        <f t="shared" si="359"/>
        <v>5223.2142857142862</v>
      </c>
      <c r="I376" s="26">
        <f t="shared" si="359"/>
        <v>5745.5357142857156</v>
      </c>
      <c r="J376" s="26">
        <f t="shared" si="359"/>
        <v>6320.0892857142871</v>
      </c>
      <c r="K376" s="26">
        <f t="shared" ref="K376" si="360">K375-K377</f>
        <v>6952.0982142857165</v>
      </c>
      <c r="L376" s="26"/>
      <c r="M376" s="30">
        <f t="shared" si="332"/>
        <v>26852.544642857149</v>
      </c>
    </row>
    <row r="377" spans="1:13" ht="11.25" hidden="1" customHeight="1" outlineLevel="2">
      <c r="A377" s="2" t="str">
        <f ca="1">OFFSET(Язык!$A$148,0,LANGUAGE)</f>
        <v xml:space="preserve">        НДС</v>
      </c>
      <c r="C377" s="6" t="str">
        <f t="shared" ca="1" si="329"/>
        <v>$</v>
      </c>
      <c r="G377" s="26">
        <f t="shared" ref="G377:J377" si="361">SUMIF($D329:$D342,"*1_02*",G329:G342)+SUMIF($D329:$D342,"*2_02*",G329:G342)*G$98</f>
        <v>313.39285714285711</v>
      </c>
      <c r="H377" s="26">
        <f t="shared" si="361"/>
        <v>626.78571428571422</v>
      </c>
      <c r="I377" s="26">
        <f t="shared" si="361"/>
        <v>689.46428571428567</v>
      </c>
      <c r="J377" s="26">
        <f t="shared" si="361"/>
        <v>758.41071428571433</v>
      </c>
      <c r="K377" s="26">
        <f t="shared" ref="K377" si="362">SUMIF($D329:$D342,"*1_02*",K329:K342)+SUMIF($D329:$D342,"*2_02*",K329:K342)*K$98</f>
        <v>834.2517857142858</v>
      </c>
      <c r="L377" s="26"/>
      <c r="M377" s="30">
        <f t="shared" si="332"/>
        <v>3222.3053571428568</v>
      </c>
    </row>
    <row r="378" spans="1:13" ht="11.25" hidden="1" customHeight="1" outlineLevel="2">
      <c r="A378" s="2" t="str">
        <f ca="1">OFFSET(Язык!$A$149,0,LANGUAGE)</f>
        <v xml:space="preserve">    Административные расходы</v>
      </c>
      <c r="C378" s="6" t="str">
        <f t="shared" ca="1" si="329"/>
        <v>$</v>
      </c>
      <c r="G378" s="26">
        <f t="shared" ref="G378:J378" si="363">SUMIF($D347:$D350,"*1_01*",G347:G350)+SUMIF($D347:$D350,"*2_01*",G347:G350)*G$98</f>
        <v>350000</v>
      </c>
      <c r="H378" s="26">
        <f t="shared" si="363"/>
        <v>385000.00000000006</v>
      </c>
      <c r="I378" s="26">
        <f t="shared" si="363"/>
        <v>423500.00000000012</v>
      </c>
      <c r="J378" s="26">
        <f t="shared" si="363"/>
        <v>465850.00000000017</v>
      </c>
      <c r="K378" s="26">
        <f t="shared" ref="K378" si="364">SUMIF($D347:$D350,"*1_01*",K347:K350)+SUMIF($D347:$D350,"*2_01*",K347:K350)*K$98</f>
        <v>512435.00000000023</v>
      </c>
      <c r="L378" s="26"/>
      <c r="M378" s="30">
        <f t="shared" si="332"/>
        <v>2136785.0000000005</v>
      </c>
    </row>
    <row r="379" spans="1:13" ht="11.25" hidden="1" customHeight="1" outlineLevel="2">
      <c r="A379" s="2" t="str">
        <f ca="1">OFFSET(Язык!$A$147,0,LANGUAGE)</f>
        <v xml:space="preserve">        сумма без НДС</v>
      </c>
      <c r="C379" s="6" t="str">
        <f t="shared" ca="1" si="329"/>
        <v>$</v>
      </c>
      <c r="G379" s="26">
        <f t="shared" ref="G379:J379" si="365">G378-G380</f>
        <v>312500</v>
      </c>
      <c r="H379" s="26">
        <f t="shared" si="365"/>
        <v>343750.00000000006</v>
      </c>
      <c r="I379" s="26">
        <f t="shared" si="365"/>
        <v>378125.00000000012</v>
      </c>
      <c r="J379" s="26">
        <f t="shared" si="365"/>
        <v>415937.50000000017</v>
      </c>
      <c r="K379" s="26">
        <f t="shared" ref="K379" si="366">K378-K380</f>
        <v>457531.25000000023</v>
      </c>
      <c r="L379" s="26"/>
      <c r="M379" s="30">
        <f t="shared" si="332"/>
        <v>1907843.7500000005</v>
      </c>
    </row>
    <row r="380" spans="1:13" ht="11.25" hidden="1" customHeight="1" outlineLevel="2">
      <c r="A380" s="2" t="str">
        <f ca="1">OFFSET(Язык!$A$148,0,LANGUAGE)</f>
        <v xml:space="preserve">        НДС</v>
      </c>
      <c r="C380" s="6" t="str">
        <f t="shared" ca="1" si="329"/>
        <v>$</v>
      </c>
      <c r="G380" s="26">
        <f t="shared" ref="G380:J380" si="367">SUMIF($D347:$D350,"*1_02*",G347:G350)+SUMIF($D347:$D350,"*2_02*",G347:G350)*G$98</f>
        <v>37500</v>
      </c>
      <c r="H380" s="26">
        <f t="shared" si="367"/>
        <v>41250</v>
      </c>
      <c r="I380" s="26">
        <f t="shared" si="367"/>
        <v>45375.000000000007</v>
      </c>
      <c r="J380" s="26">
        <f t="shared" si="367"/>
        <v>49912.500000000015</v>
      </c>
      <c r="K380" s="26">
        <f t="shared" ref="K380" si="368">SUMIF($D347:$D350,"*1_02*",K347:K350)+SUMIF($D347:$D350,"*2_02*",K347:K350)*K$98</f>
        <v>54903.750000000015</v>
      </c>
      <c r="L380" s="26"/>
      <c r="M380" s="30">
        <f t="shared" si="332"/>
        <v>228941.25</v>
      </c>
    </row>
    <row r="381" spans="1:13" ht="11.25" hidden="1" customHeight="1" outlineLevel="2">
      <c r="A381" s="2" t="str">
        <f ca="1">OFFSET(Язык!$A$150,0,LANGUAGE)</f>
        <v xml:space="preserve">    Коммерческие расходы</v>
      </c>
      <c r="C381" s="6" t="str">
        <f t="shared" ca="1" si="329"/>
        <v>$</v>
      </c>
      <c r="G381" s="26">
        <f t="shared" ref="G381:J381" ca="1" si="369">SUMIF($D355:$D361,"*1_01*",G355:G361)+SUMIF($D355:$D361,"*2_01*",G355:G361)*G$98</f>
        <v>0</v>
      </c>
      <c r="H381" s="26">
        <f t="shared" ca="1" si="369"/>
        <v>0</v>
      </c>
      <c r="I381" s="26">
        <f t="shared" ca="1" si="369"/>
        <v>0</v>
      </c>
      <c r="J381" s="26">
        <f t="shared" ca="1" si="369"/>
        <v>0</v>
      </c>
      <c r="K381" s="26">
        <f t="shared" ref="K381" ca="1" si="370">SUMIF($D355:$D361,"*1_01*",K355:K361)+SUMIF($D355:$D361,"*2_01*",K355:K361)*K$98</f>
        <v>0</v>
      </c>
      <c r="L381" s="26"/>
      <c r="M381" s="30">
        <f t="shared" ca="1" si="332"/>
        <v>0</v>
      </c>
    </row>
    <row r="382" spans="1:13" ht="11.25" hidden="1" customHeight="1" outlineLevel="2">
      <c r="A382" s="2" t="str">
        <f ca="1">OFFSET(Язык!$A$147,0,LANGUAGE)</f>
        <v xml:space="preserve">        сумма без НДС</v>
      </c>
      <c r="C382" s="6" t="str">
        <f t="shared" ca="1" si="329"/>
        <v>$</v>
      </c>
      <c r="G382" s="26">
        <f t="shared" ref="G382:J382" ca="1" si="371">G381-G383</f>
        <v>0</v>
      </c>
      <c r="H382" s="26">
        <f t="shared" ca="1" si="371"/>
        <v>0</v>
      </c>
      <c r="I382" s="26">
        <f t="shared" ca="1" si="371"/>
        <v>0</v>
      </c>
      <c r="J382" s="26">
        <f t="shared" ca="1" si="371"/>
        <v>0</v>
      </c>
      <c r="K382" s="26">
        <f t="shared" ref="K382" ca="1" si="372">K381-K383</f>
        <v>0</v>
      </c>
      <c r="L382" s="26"/>
      <c r="M382" s="30">
        <f t="shared" ca="1" si="332"/>
        <v>0</v>
      </c>
    </row>
    <row r="383" spans="1:13" ht="11.25" hidden="1" customHeight="1" outlineLevel="2">
      <c r="A383" s="2" t="str">
        <f ca="1">OFFSET(Язык!$A$148,0,LANGUAGE)</f>
        <v xml:space="preserve">        НДС</v>
      </c>
      <c r="C383" s="6" t="str">
        <f t="shared" ca="1" si="329"/>
        <v>$</v>
      </c>
      <c r="G383" s="26">
        <f t="shared" ref="G383:J383" ca="1" si="373">SUMIF($D355:$D361,"*1_02*",G355:G361)+SUMIF($D355:$D361,"*2_02*",G355:G361)*G$98</f>
        <v>0</v>
      </c>
      <c r="H383" s="26">
        <f t="shared" ca="1" si="373"/>
        <v>0</v>
      </c>
      <c r="I383" s="26">
        <f t="shared" ca="1" si="373"/>
        <v>0</v>
      </c>
      <c r="J383" s="26">
        <f t="shared" ca="1" si="373"/>
        <v>0</v>
      </c>
      <c r="K383" s="26">
        <f t="shared" ref="K383" ca="1" si="374">SUMIF($D355:$D361,"*1_02*",K355:K361)+SUMIF($D355:$D361,"*2_02*",K355:K361)*K$98</f>
        <v>0</v>
      </c>
      <c r="L383" s="26"/>
      <c r="M383" s="30">
        <f t="shared" ca="1" si="332"/>
        <v>0</v>
      </c>
    </row>
    <row r="384" spans="1:13" ht="11.25" customHeight="1" outlineLevel="1">
      <c r="A384" s="68"/>
      <c r="B384" s="67"/>
      <c r="C384" s="67"/>
      <c r="D384" s="68"/>
      <c r="E384" s="68"/>
      <c r="F384" s="68"/>
      <c r="G384" s="68"/>
      <c r="H384" s="68"/>
      <c r="I384" s="68"/>
      <c r="J384" s="68"/>
      <c r="K384" s="68"/>
      <c r="L384" s="68"/>
      <c r="M384" s="68"/>
    </row>
    <row r="385" spans="1:13" ht="12" customHeight="1" outlineLevel="1" thickBot="1"/>
    <row r="386" spans="1:13" ht="15.95" customHeight="1" thickTop="1" thickBot="1">
      <c r="A386" s="18" t="str">
        <f ca="1">OFFSET(Язык!$A$151,0,LANGUAGE)</f>
        <v>ПОСТОЯННЫЕ АКТИВЫ</v>
      </c>
      <c r="B386" s="23"/>
      <c r="C386" s="19"/>
      <c r="D386" s="18"/>
      <c r="E386" s="18"/>
      <c r="F386" s="19" t="str">
        <f t="shared" ref="F386:K386" si="375">PeriodTitle</f>
        <v>"0"</v>
      </c>
      <c r="G386" s="19">
        <f t="shared" si="375"/>
        <v>2013</v>
      </c>
      <c r="H386" s="19">
        <f t="shared" si="375"/>
        <v>2014</v>
      </c>
      <c r="I386" s="19">
        <f t="shared" si="375"/>
        <v>2015</v>
      </c>
      <c r="J386" s="19">
        <f t="shared" si="375"/>
        <v>2016</v>
      </c>
      <c r="K386" s="19">
        <f t="shared" si="375"/>
        <v>2017</v>
      </c>
      <c r="L386" s="19"/>
      <c r="M386" s="23" t="str">
        <f ca="1">OFFSET(Язык!$A$77,0,LANGUAGE)</f>
        <v>ИТОГО</v>
      </c>
    </row>
    <row r="387" spans="1:13" ht="12" outlineLevel="1" thickTop="1"/>
    <row r="388" spans="1:13" outlineLevel="1">
      <c r="A388" s="32" t="str">
        <f ca="1">OFFSET(Язык!$A$152,0,LANGUAGE)</f>
        <v>Здания и сооружения</v>
      </c>
      <c r="B388" s="12" t="str">
        <f ca="1">OFFSET(Язык!$A$78,0,LANGUAGE)</f>
        <v>Валюта</v>
      </c>
      <c r="E388" s="2">
        <v>1</v>
      </c>
    </row>
    <row r="389" spans="1:13" outlineLevel="1" collapsed="1">
      <c r="A389" s="241" t="s">
        <v>1783</v>
      </c>
      <c r="B389" s="7">
        <v>1</v>
      </c>
      <c r="C389" s="6" t="str">
        <f ca="1">CHOOSE(B389,CUR_Main,CUR_Foreign)</f>
        <v>$</v>
      </c>
      <c r="D389" s="2" t="str">
        <f>TEXT(B389,"0")&amp;"_00"</f>
        <v>1_00</v>
      </c>
      <c r="F389" s="40">
        <v>0</v>
      </c>
      <c r="G389" s="40">
        <v>1609900</v>
      </c>
      <c r="H389" s="40">
        <v>0</v>
      </c>
      <c r="I389" s="40">
        <v>0</v>
      </c>
      <c r="J389" s="40">
        <v>0</v>
      </c>
      <c r="K389" s="40">
        <v>0</v>
      </c>
      <c r="L389" s="26"/>
      <c r="M389" s="27">
        <f>SUM(F389:K389)</f>
        <v>1609900</v>
      </c>
    </row>
    <row r="390" spans="1:13" hidden="1" outlineLevel="2">
      <c r="A390" s="52" t="str">
        <f ca="1">OFFSET(Язык!$A$155,0,LANGUAGE)</f>
        <v xml:space="preserve">    сумма платежей без НДС</v>
      </c>
      <c r="B390" s="39"/>
      <c r="C390" s="6" t="str">
        <f ca="1">CUR_Main</f>
        <v>$</v>
      </c>
      <c r="D390" s="52" t="s">
        <v>2321</v>
      </c>
      <c r="E390" s="52"/>
      <c r="F390" s="25">
        <f t="shared" ref="F390:J390" si="376">F389*IF($B389=1,1,F$98)/(1+$B402)</f>
        <v>0</v>
      </c>
      <c r="G390" s="25">
        <f t="shared" si="376"/>
        <v>1437410.7142857141</v>
      </c>
      <c r="H390" s="25">
        <f t="shared" si="376"/>
        <v>0</v>
      </c>
      <c r="I390" s="25">
        <f t="shared" si="376"/>
        <v>0</v>
      </c>
      <c r="J390" s="25">
        <f t="shared" si="376"/>
        <v>0</v>
      </c>
      <c r="K390" s="25">
        <f t="shared" ref="K390" si="377">K389*IF($B389=1,1,K$98)/(1+$B402)</f>
        <v>0</v>
      </c>
      <c r="L390" s="26"/>
      <c r="M390" s="30">
        <f>SUM(F390:K390)</f>
        <v>1437410.7142857141</v>
      </c>
    </row>
    <row r="391" spans="1:13" hidden="1" outlineLevel="2">
      <c r="A391" s="52" t="str">
        <f ca="1">OFFSET(Язык!$A$156,0,LANGUAGE)</f>
        <v xml:space="preserve">    ранее осуществленные инвестиции (без НДС)</v>
      </c>
      <c r="B391" s="197">
        <v>0</v>
      </c>
      <c r="C391" s="6" t="str">
        <f ca="1">CUR_Main</f>
        <v>$</v>
      </c>
      <c r="D391" s="2" t="s">
        <v>413</v>
      </c>
      <c r="F391" s="26"/>
      <c r="G391" s="26"/>
      <c r="H391" s="26"/>
      <c r="I391" s="26"/>
      <c r="J391" s="26"/>
      <c r="K391" s="26"/>
      <c r="L391" s="26"/>
      <c r="M391" s="26"/>
    </row>
    <row r="392" spans="1:13" hidden="1" outlineLevel="2">
      <c r="A392" s="52" t="str">
        <f ca="1">OFFSET(Язык!$A$157,0,LANGUAGE)</f>
        <v xml:space="preserve">    общая стоимость актива (без НДС)</v>
      </c>
      <c r="B392" s="53">
        <f>M390+B391</f>
        <v>1437410.7142857141</v>
      </c>
      <c r="C392" s="6" t="str">
        <f ca="1">CUR_Main</f>
        <v>$</v>
      </c>
      <c r="F392" s="26"/>
      <c r="G392" s="26"/>
      <c r="H392" s="26"/>
      <c r="I392" s="26"/>
      <c r="J392" s="26"/>
      <c r="K392" s="26"/>
      <c r="L392" s="26"/>
      <c r="M392" s="26"/>
    </row>
    <row r="393" spans="1:13" hidden="1" outlineLevel="2">
      <c r="A393" s="108" t="str">
        <f ca="1">OFFSET(Язык!$A$158,0,LANGUAGE)</f>
        <v xml:space="preserve">    начало амортизации с</v>
      </c>
      <c r="B393" s="55">
        <f ca="1">MATCH(OFFSET(M394,0,-2),F394:K394,0)</f>
        <v>2</v>
      </c>
      <c r="C393" s="41" t="str">
        <f ca="1">OFFSET(Язык!$A$175,0,LANGUAGE)</f>
        <v>периода</v>
      </c>
      <c r="D393" s="43"/>
      <c r="E393" s="43"/>
      <c r="F393" s="46"/>
      <c r="G393" s="46"/>
      <c r="H393" s="46"/>
      <c r="I393" s="46"/>
      <c r="J393" s="46"/>
      <c r="K393" s="46"/>
      <c r="L393" s="46"/>
      <c r="M393" s="46"/>
    </row>
    <row r="394" spans="1:13" hidden="1" outlineLevel="2">
      <c r="A394" s="2" t="str">
        <f ca="1">OFFSET(Язык!$A$161,0,LANGUAGE)</f>
        <v xml:space="preserve">    полная сумма вложений в актив (без НДС)</v>
      </c>
      <c r="C394" s="6" t="str">
        <f ca="1">CUR_Main</f>
        <v>$</v>
      </c>
      <c r="D394" s="2" t="s">
        <v>1737</v>
      </c>
      <c r="F394" s="26">
        <f>B391+F390</f>
        <v>0</v>
      </c>
      <c r="G394" s="26">
        <f t="shared" ref="G394:K394" si="378">F394+G390</f>
        <v>1437410.7142857141</v>
      </c>
      <c r="H394" s="26">
        <f t="shared" si="378"/>
        <v>1437410.7142857141</v>
      </c>
      <c r="I394" s="26">
        <f t="shared" si="378"/>
        <v>1437410.7142857141</v>
      </c>
      <c r="J394" s="26">
        <f t="shared" si="378"/>
        <v>1437410.7142857141</v>
      </c>
      <c r="K394" s="26">
        <f t="shared" si="378"/>
        <v>1437410.7142857141</v>
      </c>
      <c r="L394" s="26"/>
      <c r="M394" s="26"/>
    </row>
    <row r="395" spans="1:13" hidden="1" outlineLevel="2">
      <c r="A395" s="2" t="str">
        <f ca="1">OFFSET(Язык!$A$162,0,LANGUAGE)</f>
        <v xml:space="preserve">    полная балансовая стоимость</v>
      </c>
      <c r="C395" s="6" t="str">
        <f ca="1">CUR_Main</f>
        <v>$</v>
      </c>
      <c r="D395" s="2" t="s">
        <v>1738</v>
      </c>
      <c r="F395" s="26">
        <f ca="1">IF($B393&lt;=F$27,$B392,0)</f>
        <v>0</v>
      </c>
      <c r="G395" s="26">
        <f ca="1">IF($B393&lt;=G$27,IF(SUM($G405:G405)&gt;0.01,0,$B392),0)</f>
        <v>0</v>
      </c>
      <c r="H395" s="26">
        <f ca="1">IF($B393&lt;=H$27,IF(SUM($G405:H405)&gt;0.01,0,$B392),0)</f>
        <v>1437410.7142857141</v>
      </c>
      <c r="I395" s="26">
        <f ca="1">IF($B393&lt;=I$27,IF(SUM($G405:I405)&gt;0.01,0,$B392),0)</f>
        <v>1437410.7142857141</v>
      </c>
      <c r="J395" s="26">
        <f ca="1">IF($B393&lt;=J$27,IF(SUM($G405:J405)&gt;0.01,0,$B392),0)</f>
        <v>1437410.7142857141</v>
      </c>
      <c r="K395" s="26">
        <f ca="1">IF($B393&lt;=K$27,IF(SUM($G405:K405)&gt;0.01,0,$B392),0)</f>
        <v>1437410.7142857141</v>
      </c>
      <c r="L395" s="26"/>
      <c r="M395" s="26"/>
    </row>
    <row r="396" spans="1:13" hidden="1" outlineLevel="2">
      <c r="A396" s="2" t="str">
        <f ca="1">OFFSET(Язык!$A$163,0,LANGUAGE)</f>
        <v xml:space="preserve">    незавершенные инвестиции</v>
      </c>
      <c r="C396" s="6" t="str">
        <f ca="1">CUR_Main</f>
        <v>$</v>
      </c>
      <c r="D396" s="2" t="s">
        <v>1739</v>
      </c>
      <c r="F396" s="26">
        <f t="shared" ref="F396:J396" ca="1" si="379">IF($B393&gt;F$27,F394,0)</f>
        <v>0</v>
      </c>
      <c r="G396" s="26">
        <f t="shared" ca="1" si="379"/>
        <v>1437410.7142857141</v>
      </c>
      <c r="H396" s="26">
        <f t="shared" ca="1" si="379"/>
        <v>0</v>
      </c>
      <c r="I396" s="26">
        <f t="shared" ca="1" si="379"/>
        <v>0</v>
      </c>
      <c r="J396" s="26">
        <f t="shared" ca="1" si="379"/>
        <v>0</v>
      </c>
      <c r="K396" s="26">
        <f t="shared" ref="K396" ca="1" si="380">IF($B393&gt;K$27,K394,0)</f>
        <v>0</v>
      </c>
      <c r="L396" s="26"/>
      <c r="M396" s="26"/>
    </row>
    <row r="397" spans="1:13" hidden="1" outlineLevel="2">
      <c r="A397" s="2" t="str">
        <f ca="1">OFFSET(Язык!$A$164,0,LANGUAGE)</f>
        <v xml:space="preserve">    кредиторская задолженность</v>
      </c>
      <c r="C397" s="6" t="str">
        <f ca="1">CUR_Main</f>
        <v>$</v>
      </c>
      <c r="D397" s="2" t="s">
        <v>1740</v>
      </c>
      <c r="F397" s="26"/>
      <c r="G397" s="26">
        <f t="shared" ref="G397:J397" ca="1" si="381">IF($B393&lt;=G$27,$B392-G394,0)</f>
        <v>0</v>
      </c>
      <c r="H397" s="26">
        <f t="shared" ca="1" si="381"/>
        <v>0</v>
      </c>
      <c r="I397" s="26">
        <f t="shared" ca="1" si="381"/>
        <v>0</v>
      </c>
      <c r="J397" s="26">
        <f t="shared" ca="1" si="381"/>
        <v>0</v>
      </c>
      <c r="K397" s="26">
        <f t="shared" ref="K397" ca="1" si="382">IF($B393&lt;=K$27,$B392-K394,0)</f>
        <v>0</v>
      </c>
      <c r="L397" s="26"/>
      <c r="M397" s="26"/>
    </row>
    <row r="398" spans="1:13" hidden="1" outlineLevel="2">
      <c r="A398" s="2" t="str">
        <f ca="1">OFFSET(Язык!$A$165,0,LANGUAGE)</f>
        <v xml:space="preserve">    амортизация (линейный метод)</v>
      </c>
      <c r="B398" s="50">
        <v>0.05</v>
      </c>
      <c r="D398" s="2" t="s">
        <v>1853</v>
      </c>
      <c r="F398" s="26"/>
      <c r="G398" s="26">
        <f t="shared" ref="G398:K398" ca="1" si="383">MIN(G395*$B398*PRJ_Step/360,MAX(F401+G395-F395,0))</f>
        <v>0</v>
      </c>
      <c r="H398" s="26">
        <f t="shared" ca="1" si="383"/>
        <v>71870.53571428571</v>
      </c>
      <c r="I398" s="26">
        <f t="shared" ca="1" si="383"/>
        <v>71870.53571428571</v>
      </c>
      <c r="J398" s="26">
        <f t="shared" ca="1" si="383"/>
        <v>71870.53571428571</v>
      </c>
      <c r="K398" s="26">
        <f t="shared" ca="1" si="383"/>
        <v>71870.53571428571</v>
      </c>
      <c r="L398" s="26"/>
      <c r="M398" s="30">
        <f ca="1">SUM(F398:K398)</f>
        <v>287482.14285714284</v>
      </c>
    </row>
    <row r="399" spans="1:13" hidden="1" outlineLevel="2">
      <c r="A399" s="2" t="str">
        <f ca="1">OFFSET(Язык!$A$166,0,LANGUAGE)</f>
        <v xml:space="preserve">    амортизация (ускоренная),    для срока использования:</v>
      </c>
      <c r="B399" s="51">
        <v>0</v>
      </c>
      <c r="C399" s="6" t="str">
        <f ca="1">OFFSET(Язык!$A$27,0,LANGUAGE)</f>
        <v>лет</v>
      </c>
      <c r="D399" s="2" t="s">
        <v>1854</v>
      </c>
      <c r="F399" s="26"/>
      <c r="G399" s="26">
        <f t="shared" ref="G399:K399" si="384">IF(OR($B399=0,F401=0),0,IF($B398&gt;0,0,IF(F401&gt;0.2*F395,F401*2/$B399*PRJ_Step/360,MIN(F401,F395*PRJ_Step/360/IF($B399&lt;4,1,IF($B399&gt;5,3,2))))))</f>
        <v>0</v>
      </c>
      <c r="H399" s="26">
        <f t="shared" ca="1" si="384"/>
        <v>0</v>
      </c>
      <c r="I399" s="26">
        <f t="shared" ca="1" si="384"/>
        <v>0</v>
      </c>
      <c r="J399" s="26">
        <f t="shared" ca="1" si="384"/>
        <v>0</v>
      </c>
      <c r="K399" s="26">
        <f t="shared" ca="1" si="384"/>
        <v>0</v>
      </c>
      <c r="L399" s="26"/>
      <c r="M399" s="30">
        <f ca="1">SUM(F399:K399)</f>
        <v>0</v>
      </c>
    </row>
    <row r="400" spans="1:13" hidden="1" outlineLevel="2">
      <c r="A400" s="2" t="str">
        <f ca="1">OFFSET(Язык!$A$167,0,LANGUAGE)</f>
        <v xml:space="preserve">    накопленная амортизация</v>
      </c>
      <c r="B400" s="56"/>
      <c r="C400" s="6" t="str">
        <f t="shared" ref="C400:C407" ca="1" si="385">CUR_Main</f>
        <v>$</v>
      </c>
      <c r="D400" s="2" t="s">
        <v>1741</v>
      </c>
      <c r="F400" s="26">
        <v>0</v>
      </c>
      <c r="G400" s="26">
        <f ca="1">IF(SUM($G405:G405)&gt;0.01,0,F400+G398+G399)</f>
        <v>0</v>
      </c>
      <c r="H400" s="26">
        <f ca="1">IF(SUM($G405:H405)&gt;0.01,0,G400+H398+H399)</f>
        <v>71870.53571428571</v>
      </c>
      <c r="I400" s="26">
        <f ca="1">IF(SUM($G405:I405)&gt;0.01,0,H400+I398+I399)</f>
        <v>143741.07142857142</v>
      </c>
      <c r="J400" s="26">
        <f ca="1">IF(SUM($G405:J405)&gt;0.01,0,I400+J398+J399)</f>
        <v>215611.60714285713</v>
      </c>
      <c r="K400" s="26">
        <f ca="1">IF(SUM($G405:K405)&gt;0.01,0,J400+K398+K399)</f>
        <v>287482.14285714284</v>
      </c>
      <c r="L400" s="26"/>
      <c r="M400" s="30"/>
    </row>
    <row r="401" spans="1:13" hidden="1" outlineLevel="2">
      <c r="A401" s="43" t="str">
        <f ca="1">OFFSET(Язык!$A$168,0,LANGUAGE)</f>
        <v xml:space="preserve">    остаточная стоимость</v>
      </c>
      <c r="B401" s="41"/>
      <c r="C401" s="41" t="str">
        <f t="shared" ca="1" si="385"/>
        <v>$</v>
      </c>
      <c r="D401" s="43" t="s">
        <v>1742</v>
      </c>
      <c r="E401" s="43"/>
      <c r="F401" s="46">
        <v>0</v>
      </c>
      <c r="G401" s="46">
        <f t="shared" ref="G401:J401" ca="1" si="386">G395-G400</f>
        <v>0</v>
      </c>
      <c r="H401" s="46">
        <f t="shared" ca="1" si="386"/>
        <v>1365540.1785714284</v>
      </c>
      <c r="I401" s="46">
        <f t="shared" ca="1" si="386"/>
        <v>1293669.6428571427</v>
      </c>
      <c r="J401" s="46">
        <f t="shared" ca="1" si="386"/>
        <v>1221799.107142857</v>
      </c>
      <c r="K401" s="46">
        <f t="shared" ref="K401" ca="1" si="387">K395-K400</f>
        <v>1149928.5714285714</v>
      </c>
      <c r="L401" s="46"/>
      <c r="M401" s="46"/>
    </row>
    <row r="402" spans="1:13" hidden="1" outlineLevel="2">
      <c r="A402" s="2" t="str">
        <f ca="1">OFFSET(Язык!$A$169,0,LANGUAGE)</f>
        <v xml:space="preserve">    выплаченный НДС</v>
      </c>
      <c r="B402" s="24">
        <f>VAT</f>
        <v>0.12</v>
      </c>
      <c r="C402" s="6" t="str">
        <f t="shared" ca="1" si="385"/>
        <v>$</v>
      </c>
      <c r="D402" s="2" t="s">
        <v>1855</v>
      </c>
      <c r="F402" s="46">
        <f t="shared" ref="F402:J402" si="388">F390*$B402</f>
        <v>0</v>
      </c>
      <c r="G402" s="46">
        <f t="shared" si="388"/>
        <v>172489.28571428568</v>
      </c>
      <c r="H402" s="46">
        <f t="shared" si="388"/>
        <v>0</v>
      </c>
      <c r="I402" s="46">
        <f t="shared" si="388"/>
        <v>0</v>
      </c>
      <c r="J402" s="46">
        <f t="shared" si="388"/>
        <v>0</v>
      </c>
      <c r="K402" s="46">
        <f t="shared" ref="K402" si="389">K390*$B402</f>
        <v>0</v>
      </c>
      <c r="L402" s="46"/>
      <c r="M402" s="152">
        <f>SUM(F402:K402)</f>
        <v>172489.28571428568</v>
      </c>
    </row>
    <row r="403" spans="1:13" hidden="1" outlineLevel="2">
      <c r="A403" s="2" t="str">
        <f ca="1">OFFSET(Язык!$A$170,0,LANGUAGE)</f>
        <v xml:space="preserve">    НДС к ранее осуществленным инвестициям</v>
      </c>
      <c r="B403" s="7">
        <f>B391*B402</f>
        <v>0</v>
      </c>
      <c r="C403" s="6" t="str">
        <f t="shared" ca="1" si="385"/>
        <v>$</v>
      </c>
      <c r="D403" s="2" t="s">
        <v>414</v>
      </c>
      <c r="F403" s="46"/>
      <c r="G403" s="46"/>
      <c r="H403" s="46"/>
      <c r="I403" s="46"/>
      <c r="J403" s="46"/>
      <c r="K403" s="46"/>
      <c r="L403" s="46"/>
      <c r="M403" s="46"/>
    </row>
    <row r="404" spans="1:13" hidden="1" outlineLevel="2">
      <c r="A404" s="43" t="str">
        <f ca="1">OFFSET(Язык!$A$171,0,LANGUAGE)</f>
        <v xml:space="preserve">    зачет НДС</v>
      </c>
      <c r="B404" s="41"/>
      <c r="C404" s="41" t="str">
        <f t="shared" ca="1" si="385"/>
        <v>$</v>
      </c>
      <c r="D404" s="43" t="s">
        <v>1856</v>
      </c>
      <c r="E404" s="43"/>
      <c r="F404" s="46">
        <f ca="1">IF(AND($B393=F$27,OR(VAT_OnAssets=1,F$637=0)),$B403+MIN($M402,SUM($F402:F402)),IF($B393&gt;F$27,0,F402+IF(AND(VAT_OnAssets=2,F$637=0),$B403+MIN($M402,SUM($F402:F402))-SUM($E404:E404),0)))</f>
        <v>0</v>
      </c>
      <c r="G404" s="46">
        <f ca="1">IF(AND($B393=G$27,OR(VAT_OnAssets=1,G$637=0)),$B403+MIN($M402,SUM($F402:G402)),IF($B393&gt;G$27,0,G402+IF(AND(VAT_OnAssets=2,G$637=0),$B403+MIN($M402,SUM($F402:G402))-SUM($E404:F404),0)))</f>
        <v>0</v>
      </c>
      <c r="H404" s="46">
        <f ca="1">IF(AND($B393=H$27,OR(VAT_OnAssets=1,H$637=0)),$B403+MIN($M402,SUM($F402:H402)),IF($B393&gt;H$27,0,H402+IF(AND(VAT_OnAssets=2,H$637=0),$B403+MIN($M402,SUM($F402:H402))-SUM($E404:G404),0)))</f>
        <v>172489.28571428568</v>
      </c>
      <c r="I404" s="46">
        <f ca="1">IF(AND($B393=I$27,OR(VAT_OnAssets=1,I$637=0)),$B403+MIN($M402,SUM($F402:I402)),IF($B393&gt;I$27,0,I402+IF(AND(VAT_OnAssets=2,I$637=0),$B403+MIN($M402,SUM($F402:I402))-SUM($E404:H404),0)))</f>
        <v>0</v>
      </c>
      <c r="J404" s="46">
        <f ca="1">IF(AND($B393=J$27,OR(VAT_OnAssets=1,J$637=0)),$B403+MIN($M402,SUM($F402:J402)),IF($B393&gt;J$27,0,J402+IF(AND(VAT_OnAssets=2,J$637=0),$B403+MIN($M402,SUM($F402:J402))-SUM($E404:I404),0)))</f>
        <v>0</v>
      </c>
      <c r="K404" s="46">
        <f ca="1">IF(AND($B393=K$27,OR(VAT_OnAssets=1,K$637=0)),$B403+MIN($M402,SUM($F402:K402)),IF($B393&gt;K$27,0,K402+IF(AND(VAT_OnAssets=2,K$637=0),$B403+MIN($M402,SUM($F402:K402))-SUM($E404:J404),0)))</f>
        <v>0</v>
      </c>
      <c r="L404" s="46"/>
      <c r="M404" s="152">
        <f ca="1">SUM(F404:K404)</f>
        <v>172489.28571428568</v>
      </c>
    </row>
    <row r="405" spans="1:13" hidden="1" outlineLevel="2">
      <c r="A405" s="2" t="str">
        <f ca="1">OFFSET(Язык!$A$172,0,LANGUAGE)</f>
        <v xml:space="preserve">    реализация актива (без НДС)</v>
      </c>
      <c r="C405" s="6" t="str">
        <f t="shared" ca="1" si="385"/>
        <v>$</v>
      </c>
      <c r="D405" s="2" t="s">
        <v>1857</v>
      </c>
      <c r="F405" s="46"/>
      <c r="G405" s="148">
        <v>0</v>
      </c>
      <c r="H405" s="148">
        <v>0</v>
      </c>
      <c r="I405" s="148">
        <v>0</v>
      </c>
      <c r="J405" s="148">
        <v>0</v>
      </c>
      <c r="K405" s="148">
        <v>0</v>
      </c>
      <c r="L405" s="46"/>
      <c r="M405" s="152">
        <f>SUM(F405:K405)</f>
        <v>0</v>
      </c>
    </row>
    <row r="406" spans="1:13" hidden="1" outlineLevel="2">
      <c r="A406" s="2" t="str">
        <f ca="1">OFFSET(Язык!$A$173,0,LANGUAGE)</f>
        <v xml:space="preserve">    прибыль/убыток от реализации актива</v>
      </c>
      <c r="C406" s="6" t="str">
        <f t="shared" ca="1" si="385"/>
        <v>$</v>
      </c>
      <c r="D406" s="2" t="s">
        <v>1858</v>
      </c>
      <c r="F406" s="46"/>
      <c r="G406" s="46">
        <f t="shared" ref="G406:K406" si="390">IF(G405=0,0,G405-F401)</f>
        <v>0</v>
      </c>
      <c r="H406" s="46">
        <f t="shared" si="390"/>
        <v>0</v>
      </c>
      <c r="I406" s="46">
        <f t="shared" si="390"/>
        <v>0</v>
      </c>
      <c r="J406" s="46">
        <f t="shared" si="390"/>
        <v>0</v>
      </c>
      <c r="K406" s="46">
        <f t="shared" si="390"/>
        <v>0</v>
      </c>
      <c r="L406" s="46"/>
      <c r="M406" s="152">
        <f>SUM(F406:K406)</f>
        <v>0</v>
      </c>
    </row>
    <row r="407" spans="1:13" hidden="1" outlineLevel="2">
      <c r="A407" s="43" t="str">
        <f ca="1">OFFSET(Язык!$A$174,0,LANGUAGE)</f>
        <v xml:space="preserve">    НДС к выручке от реализации актива</v>
      </c>
      <c r="B407" s="59">
        <f>VAT</f>
        <v>0.12</v>
      </c>
      <c r="C407" s="41" t="str">
        <f t="shared" ca="1" si="385"/>
        <v>$</v>
      </c>
      <c r="D407" s="43" t="s">
        <v>1859</v>
      </c>
      <c r="E407" s="43"/>
      <c r="F407" s="46"/>
      <c r="G407" s="46">
        <f t="shared" ref="G407:J407" si="391">G405*$B407</f>
        <v>0</v>
      </c>
      <c r="H407" s="46">
        <f t="shared" si="391"/>
        <v>0</v>
      </c>
      <c r="I407" s="46">
        <f t="shared" si="391"/>
        <v>0</v>
      </c>
      <c r="J407" s="46">
        <f t="shared" si="391"/>
        <v>0</v>
      </c>
      <c r="K407" s="46">
        <f t="shared" ref="K407" si="392">K405*$B407</f>
        <v>0</v>
      </c>
      <c r="L407" s="46"/>
      <c r="M407" s="152">
        <f>SUM(F407:K407)</f>
        <v>0</v>
      </c>
    </row>
    <row r="408" spans="1:13" outlineLevel="1">
      <c r="F408" s="46"/>
      <c r="G408" s="46"/>
      <c r="H408" s="46"/>
      <c r="I408" s="46"/>
      <c r="J408" s="46"/>
      <c r="K408" s="46"/>
      <c r="L408" s="46"/>
      <c r="M408" s="46"/>
    </row>
    <row r="409" spans="1:13" outlineLevel="1">
      <c r="A409" s="32" t="str">
        <f ca="1">OFFSET(Язык!$A$153,0,LANGUAGE)</f>
        <v>Оборудование и другие основные фонды</v>
      </c>
      <c r="B409" s="12" t="str">
        <f ca="1">OFFSET(Язык!$A$78,0,LANGUAGE)</f>
        <v>Валюта</v>
      </c>
      <c r="E409" s="2">
        <v>1</v>
      </c>
      <c r="F409" s="26"/>
      <c r="G409" s="26"/>
      <c r="H409" s="26"/>
      <c r="I409" s="26"/>
      <c r="J409" s="26"/>
      <c r="K409" s="26"/>
      <c r="L409" s="26"/>
      <c r="M409" s="26"/>
    </row>
    <row r="410" spans="1:13" outlineLevel="1" collapsed="1">
      <c r="A410" s="5" t="s">
        <v>410</v>
      </c>
      <c r="B410" s="7">
        <v>1</v>
      </c>
      <c r="C410" s="6" t="str">
        <f ca="1">CHOOSE(B410,CUR_Main,CUR_Foreign)</f>
        <v>$</v>
      </c>
      <c r="D410" s="2" t="str">
        <f>TEXT(B410,"0")&amp;"_00"</f>
        <v>1_00</v>
      </c>
      <c r="F410" s="40">
        <v>0</v>
      </c>
      <c r="G410" s="40">
        <v>1296100</v>
      </c>
      <c r="H410" s="40">
        <v>0</v>
      </c>
      <c r="I410" s="40">
        <v>0</v>
      </c>
      <c r="J410" s="40">
        <v>0</v>
      </c>
      <c r="K410" s="40">
        <v>0</v>
      </c>
      <c r="L410" s="26"/>
      <c r="M410" s="27">
        <f>SUM(F410:K410)</f>
        <v>1296100</v>
      </c>
    </row>
    <row r="411" spans="1:13" hidden="1" outlineLevel="2">
      <c r="A411" s="52" t="str">
        <f ca="1">OFFSET(Язык!$A$155,0,LANGUAGE)</f>
        <v xml:space="preserve">    сумма платежей без НДС</v>
      </c>
      <c r="B411" s="39"/>
      <c r="C411" s="6" t="str">
        <f ca="1">CUR_Main</f>
        <v>$</v>
      </c>
      <c r="D411" s="52" t="s">
        <v>2321</v>
      </c>
      <c r="E411" s="52"/>
      <c r="F411" s="25">
        <f t="shared" ref="F411:J411" si="393">IF($B415=0,F410*IF($B410=1,1,F$98)/(1+$B425),F410*IF($B410=1,1,F$98))</f>
        <v>0</v>
      </c>
      <c r="G411" s="25">
        <f t="shared" si="393"/>
        <v>1157232.1428571427</v>
      </c>
      <c r="H411" s="25">
        <f t="shared" si="393"/>
        <v>0</v>
      </c>
      <c r="I411" s="25">
        <f t="shared" si="393"/>
        <v>0</v>
      </c>
      <c r="J411" s="25">
        <f t="shared" si="393"/>
        <v>0</v>
      </c>
      <c r="K411" s="25">
        <f t="shared" ref="K411" si="394">IF($B415=0,K410*IF($B410=1,1,K$98)/(1+$B425),K410*IF($B410=1,1,K$98))</f>
        <v>0</v>
      </c>
      <c r="L411" s="26"/>
      <c r="M411" s="30">
        <f>SUM(F411:K411)</f>
        <v>1157232.1428571427</v>
      </c>
    </row>
    <row r="412" spans="1:13" hidden="1" outlineLevel="2">
      <c r="A412" s="52" t="str">
        <f ca="1">OFFSET(Язык!$A$156,0,LANGUAGE)</f>
        <v xml:space="preserve">    ранее осуществленные инвестиции (без НДС)</v>
      </c>
      <c r="B412" s="197">
        <v>0</v>
      </c>
      <c r="C412" s="6" t="str">
        <f ca="1">CUR_Main</f>
        <v>$</v>
      </c>
      <c r="D412" s="2" t="s">
        <v>413</v>
      </c>
      <c r="F412" s="26"/>
      <c r="G412" s="26"/>
      <c r="H412" s="26"/>
      <c r="I412" s="26"/>
      <c r="J412" s="26"/>
      <c r="K412" s="26"/>
      <c r="L412" s="26"/>
      <c r="M412" s="26"/>
    </row>
    <row r="413" spans="1:13" hidden="1" outlineLevel="2">
      <c r="A413" s="52" t="str">
        <f ca="1">OFFSET(Язык!$A$157,0,LANGUAGE)</f>
        <v xml:space="preserve">    общая стоимость актива (без НДС)</v>
      </c>
      <c r="B413" s="53">
        <f>M411+B412</f>
        <v>1157232.1428571427</v>
      </c>
      <c r="C413" s="6" t="str">
        <f ca="1">CUR_Main</f>
        <v>$</v>
      </c>
      <c r="F413" s="26"/>
      <c r="G413" s="26"/>
      <c r="H413" s="26"/>
      <c r="I413" s="26"/>
      <c r="J413" s="26"/>
      <c r="K413" s="26"/>
      <c r="L413" s="26"/>
      <c r="M413" s="26"/>
    </row>
    <row r="414" spans="1:13" hidden="1" outlineLevel="2">
      <c r="A414" s="108" t="str">
        <f ca="1">OFFSET(Язык!$A$158,0,LANGUAGE)</f>
        <v xml:space="preserve">    начало амортизации с</v>
      </c>
      <c r="B414" s="55">
        <f ca="1">MATCH(OFFSET(M417,0,-2),F417:K417,0)</f>
        <v>2</v>
      </c>
      <c r="C414" s="41" t="str">
        <f ca="1">OFFSET(Язык!$A$175,0,LANGUAGE)</f>
        <v>периода</v>
      </c>
      <c r="D414" s="43"/>
      <c r="E414" s="43"/>
      <c r="F414" s="46"/>
      <c r="G414" s="46"/>
      <c r="H414" s="46"/>
      <c r="I414" s="46"/>
      <c r="J414" s="46"/>
      <c r="K414" s="46"/>
      <c r="L414" s="46"/>
      <c r="M414" s="46"/>
    </row>
    <row r="415" spans="1:13" hidden="1" outlineLevel="2">
      <c r="A415" s="52" t="str">
        <f ca="1">OFFSET(Язык!$A$159,0,LANGUAGE)</f>
        <v xml:space="preserve">    пересечение границы при импорте</v>
      </c>
      <c r="B415" s="7">
        <v>0</v>
      </c>
      <c r="C415" s="6" t="str">
        <f ca="1">OFFSET(Язык!$A$176,0,LANGUAGE)</f>
        <v>период</v>
      </c>
      <c r="F415" s="46"/>
      <c r="G415" s="46"/>
      <c r="H415" s="46"/>
      <c r="I415" s="46"/>
      <c r="J415" s="46"/>
      <c r="K415" s="46"/>
      <c r="L415" s="46"/>
      <c r="M415" s="46"/>
    </row>
    <row r="416" spans="1:13" hidden="1" outlineLevel="2">
      <c r="A416" s="108" t="str">
        <f ca="1">OFFSET(Язык!$A$160,0,LANGUAGE)</f>
        <v xml:space="preserve">    дополнительная пошлина при импорте</v>
      </c>
      <c r="B416" s="54">
        <v>0</v>
      </c>
      <c r="C416" s="41"/>
      <c r="D416" s="43" t="s">
        <v>1860</v>
      </c>
      <c r="E416" s="43"/>
      <c r="F416" s="46"/>
      <c r="G416" s="46">
        <f>IF($B415&gt;0,IF(G$27=$B415,$M410*IF($B410=1,1,G$98)*$B416,0),0)</f>
        <v>0</v>
      </c>
      <c r="H416" s="46">
        <f>IF($B415&gt;0,IF(H$27=$B415,$M410*IF($B410=1,1,H$98)*$B416,0),0)</f>
        <v>0</v>
      </c>
      <c r="I416" s="46">
        <f>IF($B415&gt;0,IF(I$27=$B415,$M410*IF($B410=1,1,I$98)*$B416,0),0)</f>
        <v>0</v>
      </c>
      <c r="J416" s="46">
        <f>IF($B415&gt;0,IF(J$27=$B415,$M410*IF($B410=1,1,J$98)*$B416,0),0)</f>
        <v>0</v>
      </c>
      <c r="K416" s="46">
        <f>IF($B415&gt;0,IF(K$27=$B415,$M410*IF($B410=1,1,K$98)*$B416,0),0)</f>
        <v>0</v>
      </c>
      <c r="L416" s="46"/>
      <c r="M416" s="152">
        <f>SUM(F416:K416)</f>
        <v>0</v>
      </c>
    </row>
    <row r="417" spans="1:13" hidden="1" outlineLevel="2">
      <c r="A417" s="52" t="str">
        <f ca="1">OFFSET(Язык!$A$161,0,LANGUAGE)</f>
        <v xml:space="preserve">    полная сумма вложений в актив (без НДС)</v>
      </c>
      <c r="C417" s="6" t="str">
        <f ca="1">CUR_Main</f>
        <v>$</v>
      </c>
      <c r="D417" s="2" t="s">
        <v>1737</v>
      </c>
      <c r="F417" s="46">
        <f>B412+F411</f>
        <v>0</v>
      </c>
      <c r="G417" s="46">
        <f t="shared" ref="G417:K417" si="395">F417+G411</f>
        <v>1157232.1428571427</v>
      </c>
      <c r="H417" s="46">
        <f t="shared" si="395"/>
        <v>1157232.1428571427</v>
      </c>
      <c r="I417" s="46">
        <f t="shared" si="395"/>
        <v>1157232.1428571427</v>
      </c>
      <c r="J417" s="46">
        <f t="shared" si="395"/>
        <v>1157232.1428571427</v>
      </c>
      <c r="K417" s="46">
        <f t="shared" si="395"/>
        <v>1157232.1428571427</v>
      </c>
      <c r="L417" s="46"/>
      <c r="M417" s="46"/>
    </row>
    <row r="418" spans="1:13" hidden="1" outlineLevel="2">
      <c r="A418" s="52" t="str">
        <f ca="1">OFFSET(Язык!$A$162,0,LANGUAGE)</f>
        <v xml:space="preserve">    полная балансовая стоимость</v>
      </c>
      <c r="C418" s="6" t="str">
        <f ca="1">CUR_Main</f>
        <v>$</v>
      </c>
      <c r="D418" s="2" t="s">
        <v>1738</v>
      </c>
      <c r="F418" s="46">
        <f ca="1">IF($B414&lt;=F$27,$B413,0)</f>
        <v>0</v>
      </c>
      <c r="G418" s="46">
        <f ca="1">IF($B414&lt;=G$27,IF(SUM($G428:G428)&gt;0.01,0,$B413),0)</f>
        <v>0</v>
      </c>
      <c r="H418" s="46">
        <f ca="1">IF($B414&lt;=H$27,IF(SUM($G428:H428)&gt;0.01,0,$B413),0)</f>
        <v>1157232.1428571427</v>
      </c>
      <c r="I418" s="46">
        <f ca="1">IF($B414&lt;=I$27,IF(SUM($G428:I428)&gt;0.01,0,$B413),0)</f>
        <v>1157232.1428571427</v>
      </c>
      <c r="J418" s="46">
        <f ca="1">IF($B414&lt;=J$27,IF(SUM($G428:J428)&gt;0.01,0,$B413),0)</f>
        <v>1157232.1428571427</v>
      </c>
      <c r="K418" s="46">
        <f ca="1">IF($B414&lt;=K$27,IF(SUM($G428:K428)&gt;0.01,0,$B413),0)</f>
        <v>1157232.1428571427</v>
      </c>
      <c r="L418" s="46"/>
      <c r="M418" s="46"/>
    </row>
    <row r="419" spans="1:13" hidden="1" outlineLevel="2">
      <c r="A419" s="52" t="str">
        <f ca="1">OFFSET(Язык!$A$163,0,LANGUAGE)</f>
        <v xml:space="preserve">    незавершенные инвестиции</v>
      </c>
      <c r="C419" s="6" t="str">
        <f ca="1">CUR_Main</f>
        <v>$</v>
      </c>
      <c r="D419" s="2" t="s">
        <v>1739</v>
      </c>
      <c r="F419" s="46">
        <f t="shared" ref="F419:J419" ca="1" si="396">IF($B414&gt;F$27,F417,0)</f>
        <v>0</v>
      </c>
      <c r="G419" s="46">
        <f t="shared" ca="1" si="396"/>
        <v>1157232.1428571427</v>
      </c>
      <c r="H419" s="46">
        <f t="shared" ca="1" si="396"/>
        <v>0</v>
      </c>
      <c r="I419" s="46">
        <f t="shared" ca="1" si="396"/>
        <v>0</v>
      </c>
      <c r="J419" s="46">
        <f t="shared" ca="1" si="396"/>
        <v>0</v>
      </c>
      <c r="K419" s="46">
        <f t="shared" ref="K419" ca="1" si="397">IF($B414&gt;K$27,K417,0)</f>
        <v>0</v>
      </c>
      <c r="L419" s="46"/>
      <c r="M419" s="46"/>
    </row>
    <row r="420" spans="1:13" hidden="1" outlineLevel="2">
      <c r="A420" s="52" t="str">
        <f ca="1">OFFSET(Язык!$A$164,0,LANGUAGE)</f>
        <v xml:space="preserve">    кредиторская задолженность</v>
      </c>
      <c r="C420" s="6" t="str">
        <f ca="1">CUR_Main</f>
        <v>$</v>
      </c>
      <c r="D420" s="2" t="s">
        <v>1740</v>
      </c>
      <c r="F420" s="46"/>
      <c r="G420" s="46">
        <f t="shared" ref="G420:J420" ca="1" si="398">IF($B414&lt;=G$27,$B413-G417,0)</f>
        <v>0</v>
      </c>
      <c r="H420" s="46">
        <f t="shared" ca="1" si="398"/>
        <v>0</v>
      </c>
      <c r="I420" s="46">
        <f t="shared" ca="1" si="398"/>
        <v>0</v>
      </c>
      <c r="J420" s="46">
        <f t="shared" ca="1" si="398"/>
        <v>0</v>
      </c>
      <c r="K420" s="46">
        <f t="shared" ref="K420" ca="1" si="399">IF($B414&lt;=K$27,$B413-K417,0)</f>
        <v>0</v>
      </c>
      <c r="L420" s="46"/>
      <c r="M420" s="46"/>
    </row>
    <row r="421" spans="1:13" hidden="1" outlineLevel="2">
      <c r="A421" s="52" t="str">
        <f ca="1">OFFSET(Язык!$A$165,0,LANGUAGE)</f>
        <v xml:space="preserve">    амортизация (линейный метод)</v>
      </c>
      <c r="B421" s="50">
        <v>0.2</v>
      </c>
      <c r="D421" s="2" t="s">
        <v>1853</v>
      </c>
      <c r="F421" s="46"/>
      <c r="G421" s="46">
        <f t="shared" ref="G421:K421" ca="1" si="400">MIN(G418*$B421*PRJ_Step/360,MAX(F424+G418-F418,0))</f>
        <v>0</v>
      </c>
      <c r="H421" s="46">
        <f t="shared" ca="1" si="400"/>
        <v>231446.42857142858</v>
      </c>
      <c r="I421" s="46">
        <f t="shared" ca="1" si="400"/>
        <v>231446.42857142858</v>
      </c>
      <c r="J421" s="46">
        <f t="shared" ca="1" si="400"/>
        <v>231446.42857142858</v>
      </c>
      <c r="K421" s="46">
        <f t="shared" ca="1" si="400"/>
        <v>231446.42857142858</v>
      </c>
      <c r="L421" s="46"/>
      <c r="M421" s="152">
        <f ca="1">SUM(F421:K421)</f>
        <v>925785.71428571432</v>
      </c>
    </row>
    <row r="422" spans="1:13" hidden="1" outlineLevel="2">
      <c r="A422" s="52" t="str">
        <f ca="1">OFFSET(Язык!$A$166,0,LANGUAGE)</f>
        <v xml:space="preserve">    амортизация (ускоренная),    для срока использования:</v>
      </c>
      <c r="B422" s="51">
        <v>0</v>
      </c>
      <c r="C422" s="6" t="str">
        <f ca="1">OFFSET(Язык!$A$27,0,LANGUAGE)</f>
        <v>лет</v>
      </c>
      <c r="D422" s="2" t="s">
        <v>1854</v>
      </c>
      <c r="F422" s="46"/>
      <c r="G422" s="46">
        <f t="shared" ref="G422:K422" si="401">IF(OR($B422=0,F424=0),0,IF($B421&gt;0,0,IF(F424&gt;0.2*F418,F424*2/$B422*PRJ_Step/360,MIN(F424,F418*PRJ_Step/360/IF($B422&lt;4,1,IF($B422&gt;5,3,2))))))</f>
        <v>0</v>
      </c>
      <c r="H422" s="46">
        <f t="shared" ca="1" si="401"/>
        <v>0</v>
      </c>
      <c r="I422" s="46">
        <f t="shared" ca="1" si="401"/>
        <v>0</v>
      </c>
      <c r="J422" s="46">
        <f t="shared" ca="1" si="401"/>
        <v>0</v>
      </c>
      <c r="K422" s="46">
        <f t="shared" ca="1" si="401"/>
        <v>0</v>
      </c>
      <c r="L422" s="46"/>
      <c r="M422" s="152">
        <f ca="1">SUM(F422:K422)</f>
        <v>0</v>
      </c>
    </row>
    <row r="423" spans="1:13" hidden="1" outlineLevel="2">
      <c r="A423" s="52" t="str">
        <f ca="1">OFFSET(Язык!$A$167,0,LANGUAGE)</f>
        <v xml:space="preserve">    накопленная амортизация</v>
      </c>
      <c r="B423" s="56"/>
      <c r="C423" s="6" t="str">
        <f t="shared" ref="C423:C430" ca="1" si="402">CUR_Main</f>
        <v>$</v>
      </c>
      <c r="D423" s="2" t="s">
        <v>1741</v>
      </c>
      <c r="F423" s="46">
        <v>0</v>
      </c>
      <c r="G423" s="46">
        <f ca="1">IF(SUM($G428:G428)&gt;0.01,0,F423+G421+G422)</f>
        <v>0</v>
      </c>
      <c r="H423" s="46">
        <f ca="1">IF(SUM($G428:H428)&gt;0.01,0,G423+H421+H422)</f>
        <v>231446.42857142858</v>
      </c>
      <c r="I423" s="46">
        <f ca="1">IF(SUM($G428:I428)&gt;0.01,0,H423+I421+I422)</f>
        <v>462892.85714285716</v>
      </c>
      <c r="J423" s="46">
        <f ca="1">IF(SUM($G428:J428)&gt;0.01,0,I423+J421+J422)</f>
        <v>694339.28571428568</v>
      </c>
      <c r="K423" s="46">
        <f ca="1">IF(SUM($G428:K428)&gt;0.01,0,J423+K421+K422)</f>
        <v>925785.71428571432</v>
      </c>
      <c r="L423" s="46"/>
      <c r="M423" s="152"/>
    </row>
    <row r="424" spans="1:13" hidden="1" outlineLevel="2">
      <c r="A424" s="108" t="str">
        <f ca="1">OFFSET(Язык!$A$168,0,LANGUAGE)</f>
        <v xml:space="preserve">    остаточная стоимость</v>
      </c>
      <c r="B424" s="41"/>
      <c r="C424" s="41" t="str">
        <f t="shared" ca="1" si="402"/>
        <v>$</v>
      </c>
      <c r="D424" s="43" t="s">
        <v>1742</v>
      </c>
      <c r="E424" s="43"/>
      <c r="F424" s="46">
        <v>0</v>
      </c>
      <c r="G424" s="46">
        <f t="shared" ref="G424:J424" ca="1" si="403">G418-G423</f>
        <v>0</v>
      </c>
      <c r="H424" s="46">
        <f t="shared" ca="1" si="403"/>
        <v>925785.71428571409</v>
      </c>
      <c r="I424" s="46">
        <f t="shared" ca="1" si="403"/>
        <v>694339.28571428556</v>
      </c>
      <c r="J424" s="46">
        <f t="shared" ca="1" si="403"/>
        <v>462892.85714285704</v>
      </c>
      <c r="K424" s="46">
        <f t="shared" ref="K424" ca="1" si="404">K418-K423</f>
        <v>231446.42857142841</v>
      </c>
      <c r="L424" s="46"/>
      <c r="M424" s="46"/>
    </row>
    <row r="425" spans="1:13" hidden="1" outlineLevel="2">
      <c r="A425" s="52" t="str">
        <f ca="1">OFFSET(Язык!$A$169,0,LANGUAGE)</f>
        <v xml:space="preserve">    выплаченный НДС</v>
      </c>
      <c r="B425" s="24">
        <f>VAT</f>
        <v>0.12</v>
      </c>
      <c r="C425" s="6" t="str">
        <f t="shared" ca="1" si="402"/>
        <v>$</v>
      </c>
      <c r="D425" s="2" t="s">
        <v>1855</v>
      </c>
      <c r="F425" s="46">
        <f t="shared" ref="F425:K425" si="405">IF($B415=0,F411*$B425,IF(F$27=$B415,($M416+$M410*IF($B410=1,1,F$98))*$B425,0))</f>
        <v>0</v>
      </c>
      <c r="G425" s="46">
        <f t="shared" si="405"/>
        <v>138867.85714285713</v>
      </c>
      <c r="H425" s="46">
        <f t="shared" si="405"/>
        <v>0</v>
      </c>
      <c r="I425" s="46">
        <f t="shared" si="405"/>
        <v>0</v>
      </c>
      <c r="J425" s="46">
        <f t="shared" si="405"/>
        <v>0</v>
      </c>
      <c r="K425" s="46">
        <f t="shared" si="405"/>
        <v>0</v>
      </c>
      <c r="L425" s="46"/>
      <c r="M425" s="152">
        <f>SUM(F425:K425)</f>
        <v>138867.85714285713</v>
      </c>
    </row>
    <row r="426" spans="1:13" hidden="1" outlineLevel="2">
      <c r="A426" s="52" t="str">
        <f ca="1">OFFSET(Язык!$A$170,0,LANGUAGE)</f>
        <v xml:space="preserve">    НДС к ранее осуществленным инвестициям</v>
      </c>
      <c r="B426" s="7">
        <f>B412*B425</f>
        <v>0</v>
      </c>
      <c r="C426" s="6" t="str">
        <f t="shared" ca="1" si="402"/>
        <v>$</v>
      </c>
      <c r="D426" s="2" t="s">
        <v>414</v>
      </c>
      <c r="F426" s="46"/>
      <c r="G426" s="46"/>
      <c r="H426" s="46"/>
      <c r="I426" s="46"/>
      <c r="J426" s="46"/>
      <c r="K426" s="46"/>
      <c r="L426" s="46"/>
      <c r="M426" s="46"/>
    </row>
    <row r="427" spans="1:13" hidden="1" outlineLevel="2">
      <c r="A427" s="108" t="str">
        <f ca="1">OFFSET(Язык!$A$171,0,LANGUAGE)</f>
        <v xml:space="preserve">    зачет НДС</v>
      </c>
      <c r="B427" s="41"/>
      <c r="C427" s="41" t="str">
        <f t="shared" ca="1" si="402"/>
        <v>$</v>
      </c>
      <c r="D427" s="43" t="s">
        <v>1856</v>
      </c>
      <c r="E427" s="43"/>
      <c r="F427" s="46">
        <f ca="1">IF(AND($B414=F$27,OR(VAT_OnAssets=1,F$637=0)),$B426+MIN($M425,SUM($F425:F425)),IF($B414&gt;F$27,0,F425+IF(AND(VAT_OnAssets=2,F$637=0),$B426+MIN($M425,SUM($E425:E425))-SUM($E427:E427),0)))</f>
        <v>0</v>
      </c>
      <c r="G427" s="46">
        <f ca="1">IF(AND($B414=G$27,OR(VAT_OnAssets=1,G$637=0)),$B426+MIN($M425,SUM($F425:G425)),IF($B414&gt;G$27,0,G425+IF(AND(VAT_OnAssets=2,G$637=0),$B426+MIN($M425,SUM($E425:F425))-SUM($E427:F427),0)))</f>
        <v>0</v>
      </c>
      <c r="H427" s="46">
        <f ca="1">IF(AND($B414=H$27,OR(VAT_OnAssets=1,H$637=0)),$B426+MIN($M425,SUM($F425:H425)),IF($B414&gt;H$27,0,H425+IF(AND(VAT_OnAssets=2,H$637=0),$B426+MIN($M425,SUM($E425:G425))-SUM($E427:G427),0)))</f>
        <v>138867.85714285713</v>
      </c>
      <c r="I427" s="46">
        <f ca="1">IF(AND($B414=I$27,OR(VAT_OnAssets=1,I$637=0)),$B426+MIN($M425,SUM($F425:I425)),IF($B414&gt;I$27,0,I425+IF(AND(VAT_OnAssets=2,I$637=0),$B426+MIN($M425,SUM($E425:H425))-SUM($E427:H427),0)))</f>
        <v>0</v>
      </c>
      <c r="J427" s="46">
        <f ca="1">IF(AND($B414=J$27,OR(VAT_OnAssets=1,J$637=0)),$B426+MIN($M425,SUM($F425:J425)),IF($B414&gt;J$27,0,J425+IF(AND(VAT_OnAssets=2,J$637=0),$B426+MIN($M425,SUM($E425:I425))-SUM($E427:I427),0)))</f>
        <v>0</v>
      </c>
      <c r="K427" s="46">
        <f ca="1">IF(AND($B414=K$27,OR(VAT_OnAssets=1,K$637=0)),$B426+MIN($M425,SUM($F425:K425)),IF($B414&gt;K$27,0,K425+IF(AND(VAT_OnAssets=2,K$637=0),$B426+MIN($M425,SUM($E425:J425))-SUM($E427:J427),0)))</f>
        <v>0</v>
      </c>
      <c r="L427" s="46"/>
      <c r="M427" s="152">
        <f ca="1">SUM(F427:K427)</f>
        <v>138867.85714285713</v>
      </c>
    </row>
    <row r="428" spans="1:13" hidden="1" outlineLevel="2">
      <c r="A428" s="52" t="str">
        <f ca="1">OFFSET(Язык!$A$172,0,LANGUAGE)</f>
        <v xml:space="preserve">    реализация актива (без НДС)</v>
      </c>
      <c r="C428" s="6" t="str">
        <f t="shared" ca="1" si="402"/>
        <v>$</v>
      </c>
      <c r="D428" s="2" t="s">
        <v>1857</v>
      </c>
      <c r="F428" s="46"/>
      <c r="G428" s="148">
        <v>0</v>
      </c>
      <c r="H428" s="148">
        <v>0</v>
      </c>
      <c r="I428" s="148">
        <v>0</v>
      </c>
      <c r="J428" s="148">
        <v>0</v>
      </c>
      <c r="K428" s="148">
        <v>0</v>
      </c>
      <c r="L428" s="46"/>
      <c r="M428" s="152">
        <f>SUM(F428:K428)</f>
        <v>0</v>
      </c>
    </row>
    <row r="429" spans="1:13" hidden="1" outlineLevel="2">
      <c r="A429" s="52" t="str">
        <f ca="1">OFFSET(Язык!$A$173,0,LANGUAGE)</f>
        <v xml:space="preserve">    прибыль/убыток от реализации актива</v>
      </c>
      <c r="C429" s="6" t="str">
        <f t="shared" ca="1" si="402"/>
        <v>$</v>
      </c>
      <c r="D429" s="2" t="s">
        <v>1858</v>
      </c>
      <c r="F429" s="46"/>
      <c r="G429" s="46">
        <f t="shared" ref="G429:K429" si="406">IF(G428=0,0,G428-F424)</f>
        <v>0</v>
      </c>
      <c r="H429" s="46">
        <f t="shared" si="406"/>
        <v>0</v>
      </c>
      <c r="I429" s="46">
        <f t="shared" si="406"/>
        <v>0</v>
      </c>
      <c r="J429" s="46">
        <f t="shared" si="406"/>
        <v>0</v>
      </c>
      <c r="K429" s="46">
        <f t="shared" si="406"/>
        <v>0</v>
      </c>
      <c r="L429" s="46"/>
      <c r="M429" s="152">
        <f>SUM(F429:K429)</f>
        <v>0</v>
      </c>
    </row>
    <row r="430" spans="1:13" hidden="1" outlineLevel="2">
      <c r="A430" s="108" t="str">
        <f ca="1">OFFSET(Язык!$A$174,0,LANGUAGE)</f>
        <v xml:space="preserve">    НДС к выручке от реализации актива</v>
      </c>
      <c r="B430" s="59">
        <f>VAT</f>
        <v>0.12</v>
      </c>
      <c r="C430" s="41" t="str">
        <f t="shared" ca="1" si="402"/>
        <v>$</v>
      </c>
      <c r="D430" s="43" t="s">
        <v>1859</v>
      </c>
      <c r="E430" s="43"/>
      <c r="F430" s="46"/>
      <c r="G430" s="46">
        <f t="shared" ref="G430:J430" si="407">G428*$B430</f>
        <v>0</v>
      </c>
      <c r="H430" s="46">
        <f t="shared" si="407"/>
        <v>0</v>
      </c>
      <c r="I430" s="46">
        <f t="shared" si="407"/>
        <v>0</v>
      </c>
      <c r="J430" s="46">
        <f t="shared" si="407"/>
        <v>0</v>
      </c>
      <c r="K430" s="46">
        <f t="shared" ref="K430" si="408">K428*$B430</f>
        <v>0</v>
      </c>
      <c r="L430" s="46"/>
      <c r="M430" s="152">
        <f>SUM(F430:K430)</f>
        <v>0</v>
      </c>
    </row>
    <row r="431" spans="1:13" outlineLevel="1">
      <c r="F431" s="46"/>
      <c r="G431" s="46"/>
      <c r="H431" s="46"/>
      <c r="I431" s="46"/>
      <c r="J431" s="46"/>
      <c r="K431" s="46"/>
      <c r="L431" s="46"/>
      <c r="M431" s="46"/>
    </row>
    <row r="432" spans="1:13" outlineLevel="1">
      <c r="A432" s="32" t="str">
        <f ca="1">OFFSET(Язык!$A$154,0,LANGUAGE)</f>
        <v>Расходы будущих периодов</v>
      </c>
      <c r="B432" s="12" t="str">
        <f ca="1">OFFSET(Язык!$A$78,0,LANGUAGE)</f>
        <v>Валюта</v>
      </c>
      <c r="E432" s="2">
        <v>1</v>
      </c>
      <c r="F432" s="46"/>
      <c r="G432" s="46"/>
      <c r="H432" s="46"/>
      <c r="I432" s="46"/>
      <c r="J432" s="46"/>
      <c r="K432" s="46"/>
      <c r="L432" s="46"/>
      <c r="M432" s="46"/>
    </row>
    <row r="433" spans="1:13" outlineLevel="1" collapsed="1">
      <c r="A433" s="5"/>
      <c r="B433" s="7">
        <v>1</v>
      </c>
      <c r="C433" s="6" t="str">
        <f ca="1">CHOOSE(B433,CUR_Main,CUR_Foreign)</f>
        <v>$</v>
      </c>
      <c r="D433" s="2" t="str">
        <f>TEXT(B433,"0")&amp;"_00"</f>
        <v>1_00</v>
      </c>
      <c r="F433" s="148">
        <v>0</v>
      </c>
      <c r="G433" s="148">
        <v>0</v>
      </c>
      <c r="H433" s="148">
        <v>0</v>
      </c>
      <c r="I433" s="148">
        <v>0</v>
      </c>
      <c r="J433" s="148">
        <v>0</v>
      </c>
      <c r="K433" s="148">
        <v>0</v>
      </c>
      <c r="L433" s="46"/>
      <c r="M433" s="150">
        <f>SUM(F433:K433)</f>
        <v>0</v>
      </c>
    </row>
    <row r="434" spans="1:13" hidden="1" outlineLevel="2">
      <c r="A434" s="52" t="str">
        <f ca="1">OFFSET(Язык!$A$155,0,LANGUAGE)</f>
        <v xml:space="preserve">    сумма платежей без НДС</v>
      </c>
      <c r="B434" s="39"/>
      <c r="C434" s="6" t="str">
        <f ca="1">CUR_Main</f>
        <v>$</v>
      </c>
      <c r="D434" s="52" t="s">
        <v>2321</v>
      </c>
      <c r="E434" s="52"/>
      <c r="F434" s="149">
        <f t="shared" ref="F434:J434" si="409">F433*IF($B433=1,1,F$98)/(1+$B446)</f>
        <v>0</v>
      </c>
      <c r="G434" s="149">
        <f t="shared" si="409"/>
        <v>0</v>
      </c>
      <c r="H434" s="149">
        <f t="shared" si="409"/>
        <v>0</v>
      </c>
      <c r="I434" s="149">
        <f t="shared" si="409"/>
        <v>0</v>
      </c>
      <c r="J434" s="149">
        <f t="shared" si="409"/>
        <v>0</v>
      </c>
      <c r="K434" s="149">
        <f t="shared" ref="K434" si="410">K433*IF($B433=1,1,K$98)/(1+$B446)</f>
        <v>0</v>
      </c>
      <c r="L434" s="46"/>
      <c r="M434" s="152">
        <f>SUM(F434:K434)</f>
        <v>0</v>
      </c>
    </row>
    <row r="435" spans="1:13" hidden="1" outlineLevel="2">
      <c r="A435" s="52" t="str">
        <f ca="1">OFFSET(Язык!$A$156,0,LANGUAGE)</f>
        <v xml:space="preserve">    ранее осуществленные инвестиции (без НДС)</v>
      </c>
      <c r="B435" s="7">
        <v>0</v>
      </c>
      <c r="C435" s="6" t="str">
        <f ca="1">CUR_Main</f>
        <v>$</v>
      </c>
      <c r="D435" s="2" t="s">
        <v>413</v>
      </c>
      <c r="F435" s="46"/>
      <c r="G435" s="46"/>
      <c r="H435" s="46"/>
      <c r="I435" s="46"/>
      <c r="J435" s="46"/>
      <c r="K435" s="46"/>
      <c r="L435" s="46"/>
      <c r="M435" s="46"/>
    </row>
    <row r="436" spans="1:13" hidden="1" outlineLevel="2">
      <c r="A436" s="52" t="str">
        <f ca="1">OFFSET(Язык!$A$157,0,LANGUAGE)</f>
        <v xml:space="preserve">    общая стоимость актива (без НДС)</v>
      </c>
      <c r="B436" s="53">
        <f>M434+B435</f>
        <v>0</v>
      </c>
      <c r="C436" s="6" t="str">
        <f ca="1">CUR_Main</f>
        <v>$</v>
      </c>
      <c r="F436" s="46"/>
      <c r="G436" s="46"/>
      <c r="H436" s="46"/>
      <c r="I436" s="46"/>
      <c r="J436" s="46"/>
      <c r="K436" s="46"/>
      <c r="L436" s="46"/>
      <c r="M436" s="46"/>
    </row>
    <row r="437" spans="1:13" hidden="1" outlineLevel="2">
      <c r="A437" s="108" t="str">
        <f ca="1">OFFSET(Язык!$A$158,0,LANGUAGE)</f>
        <v xml:space="preserve">    начало амортизации с</v>
      </c>
      <c r="B437" s="55">
        <f ca="1">MATCH(OFFSET(M438,0,-2),F438:K438,0)</f>
        <v>1</v>
      </c>
      <c r="C437" s="41" t="str">
        <f ca="1">OFFSET(Язык!$A$175,0,LANGUAGE)</f>
        <v>периода</v>
      </c>
      <c r="D437" s="43"/>
      <c r="E437" s="43"/>
      <c r="F437" s="46"/>
      <c r="G437" s="46"/>
      <c r="H437" s="46"/>
      <c r="I437" s="46"/>
      <c r="J437" s="46"/>
      <c r="K437" s="46"/>
      <c r="L437" s="46"/>
      <c r="M437" s="46"/>
    </row>
    <row r="438" spans="1:13" hidden="1" outlineLevel="2">
      <c r="A438" s="2" t="str">
        <f ca="1">OFFSET(Язык!$A$161,0,LANGUAGE)</f>
        <v xml:space="preserve">    полная сумма вложений в актив (без НДС)</v>
      </c>
      <c r="C438" s="6" t="str">
        <f ca="1">CUR_Main</f>
        <v>$</v>
      </c>
      <c r="D438" s="2" t="s">
        <v>1737</v>
      </c>
      <c r="F438" s="46">
        <f>B435+F434</f>
        <v>0</v>
      </c>
      <c r="G438" s="46">
        <f t="shared" ref="G438:K438" si="411">F438+G434</f>
        <v>0</v>
      </c>
      <c r="H438" s="46">
        <f t="shared" si="411"/>
        <v>0</v>
      </c>
      <c r="I438" s="46">
        <f t="shared" si="411"/>
        <v>0</v>
      </c>
      <c r="J438" s="46">
        <f t="shared" si="411"/>
        <v>0</v>
      </c>
      <c r="K438" s="46">
        <f t="shared" si="411"/>
        <v>0</v>
      </c>
      <c r="L438" s="46"/>
      <c r="M438" s="46"/>
    </row>
    <row r="439" spans="1:13" hidden="1" outlineLevel="2">
      <c r="A439" s="2" t="str">
        <f ca="1">OFFSET(Язык!$A$162,0,LANGUAGE)</f>
        <v xml:space="preserve">    полная балансовая стоимость</v>
      </c>
      <c r="C439" s="6" t="str">
        <f ca="1">CUR_Main</f>
        <v>$</v>
      </c>
      <c r="D439" s="2" t="s">
        <v>1738</v>
      </c>
      <c r="F439" s="46">
        <f t="shared" ref="F439:J439" ca="1" si="412">IF($B437&lt;=F$27,$B436,0)</f>
        <v>0</v>
      </c>
      <c r="G439" s="46">
        <f t="shared" ca="1" si="412"/>
        <v>0</v>
      </c>
      <c r="H439" s="46">
        <f t="shared" ca="1" si="412"/>
        <v>0</v>
      </c>
      <c r="I439" s="46">
        <f t="shared" ca="1" si="412"/>
        <v>0</v>
      </c>
      <c r="J439" s="46">
        <f t="shared" ca="1" si="412"/>
        <v>0</v>
      </c>
      <c r="K439" s="46">
        <f t="shared" ref="K439" ca="1" si="413">IF($B437&lt;=K$27,$B436,0)</f>
        <v>0</v>
      </c>
      <c r="L439" s="46"/>
      <c r="M439" s="46"/>
    </row>
    <row r="440" spans="1:13" hidden="1" outlineLevel="2">
      <c r="A440" s="2" t="str">
        <f ca="1">OFFSET(Язык!$A$163,0,LANGUAGE)</f>
        <v xml:space="preserve">    незавершенные инвестиции</v>
      </c>
      <c r="C440" s="6" t="str">
        <f ca="1">CUR_Main</f>
        <v>$</v>
      </c>
      <c r="D440" s="2" t="s">
        <v>1739</v>
      </c>
      <c r="F440" s="46">
        <f t="shared" ref="F440:J440" ca="1" si="414">IF($B437&gt;F$27,F438,0)</f>
        <v>0</v>
      </c>
      <c r="G440" s="46">
        <f t="shared" ca="1" si="414"/>
        <v>0</v>
      </c>
      <c r="H440" s="46">
        <f t="shared" ca="1" si="414"/>
        <v>0</v>
      </c>
      <c r="I440" s="46">
        <f t="shared" ca="1" si="414"/>
        <v>0</v>
      </c>
      <c r="J440" s="46">
        <f t="shared" ca="1" si="414"/>
        <v>0</v>
      </c>
      <c r="K440" s="46">
        <f t="shared" ref="K440" ca="1" si="415">IF($B437&gt;K$27,K438,0)</f>
        <v>0</v>
      </c>
      <c r="L440" s="46"/>
      <c r="M440" s="46"/>
    </row>
    <row r="441" spans="1:13" hidden="1" outlineLevel="2">
      <c r="A441" s="2" t="str">
        <f ca="1">OFFSET(Язык!$A$164,0,LANGUAGE)</f>
        <v xml:space="preserve">    кредиторская задолженность</v>
      </c>
      <c r="C441" s="6" t="str">
        <f ca="1">CUR_Main</f>
        <v>$</v>
      </c>
      <c r="D441" s="2" t="s">
        <v>1740</v>
      </c>
      <c r="F441" s="46"/>
      <c r="G441" s="46">
        <f t="shared" ref="G441:J441" ca="1" si="416">IF($B437&lt;=G$27,$B436-G438,0)</f>
        <v>0</v>
      </c>
      <c r="H441" s="46">
        <f t="shared" ca="1" si="416"/>
        <v>0</v>
      </c>
      <c r="I441" s="46">
        <f t="shared" ca="1" si="416"/>
        <v>0</v>
      </c>
      <c r="J441" s="46">
        <f t="shared" ca="1" si="416"/>
        <v>0</v>
      </c>
      <c r="K441" s="46">
        <f t="shared" ref="K441" ca="1" si="417">IF($B437&lt;=K$27,$B436-K438,0)</f>
        <v>0</v>
      </c>
      <c r="L441" s="46"/>
      <c r="M441" s="46"/>
    </row>
    <row r="442" spans="1:13" hidden="1" outlineLevel="2">
      <c r="A442" s="2" t="str">
        <f ca="1">OFFSET(Язык!$A$165,0,LANGUAGE)</f>
        <v xml:space="preserve">    амортизация (линейный метод)</v>
      </c>
      <c r="B442" s="50">
        <v>0.2</v>
      </c>
      <c r="D442" s="2" t="s">
        <v>1853</v>
      </c>
      <c r="F442" s="46"/>
      <c r="G442" s="46">
        <f t="shared" ref="G442:K442" ca="1" si="418">MIN(G439*$B442*PRJ_Step/360,MAX(F445+G439-F439,0))</f>
        <v>0</v>
      </c>
      <c r="H442" s="46">
        <f t="shared" ca="1" si="418"/>
        <v>0</v>
      </c>
      <c r="I442" s="46">
        <f t="shared" ca="1" si="418"/>
        <v>0</v>
      </c>
      <c r="J442" s="46">
        <f t="shared" ca="1" si="418"/>
        <v>0</v>
      </c>
      <c r="K442" s="46">
        <f t="shared" ca="1" si="418"/>
        <v>0</v>
      </c>
      <c r="L442" s="46"/>
      <c r="M442" s="152">
        <f ca="1">SUM(F442:K442)</f>
        <v>0</v>
      </c>
    </row>
    <row r="443" spans="1:13" hidden="1" outlineLevel="2">
      <c r="A443" s="2" t="str">
        <f ca="1">OFFSET(Язык!$A$166,0,LANGUAGE)</f>
        <v xml:space="preserve">    амортизация (ускоренная),    для срока использования:</v>
      </c>
      <c r="B443" s="51">
        <v>0</v>
      </c>
      <c r="C443" s="6" t="str">
        <f ca="1">OFFSET(Язык!$A$27,0,LANGUAGE)</f>
        <v>лет</v>
      </c>
      <c r="D443" s="2" t="s">
        <v>1854</v>
      </c>
      <c r="F443" s="46"/>
      <c r="G443" s="46">
        <f t="shared" ref="G443:K443" si="419">IF(OR($B443=0,F445=0),0,IF($B442&gt;0,0,IF(F445&gt;0.2*F439,F445*2/$B443*PRJ_Step/360,MIN(F445,F439*PRJ_Step/360/IF($B443&lt;4,1,IF($B443&gt;5,3,2))))))</f>
        <v>0</v>
      </c>
      <c r="H443" s="46">
        <f t="shared" ca="1" si="419"/>
        <v>0</v>
      </c>
      <c r="I443" s="46">
        <f t="shared" ca="1" si="419"/>
        <v>0</v>
      </c>
      <c r="J443" s="46">
        <f t="shared" ca="1" si="419"/>
        <v>0</v>
      </c>
      <c r="K443" s="46">
        <f t="shared" ca="1" si="419"/>
        <v>0</v>
      </c>
      <c r="L443" s="46"/>
      <c r="M443" s="152">
        <f ca="1">SUM(F443:K443)</f>
        <v>0</v>
      </c>
    </row>
    <row r="444" spans="1:13" hidden="1" outlineLevel="2">
      <c r="A444" s="2" t="str">
        <f ca="1">OFFSET(Язык!$A$167,0,LANGUAGE)</f>
        <v xml:space="preserve">    накопленная амортизация</v>
      </c>
      <c r="B444" s="56"/>
      <c r="C444" s="6" t="str">
        <f ca="1">CUR_Main</f>
        <v>$</v>
      </c>
      <c r="D444" s="2" t="s">
        <v>1741</v>
      </c>
      <c r="F444" s="46">
        <v>0</v>
      </c>
      <c r="G444" s="46">
        <f t="shared" ref="G444:K444" ca="1" si="420">F444+G442+G443</f>
        <v>0</v>
      </c>
      <c r="H444" s="46">
        <f t="shared" ca="1" si="420"/>
        <v>0</v>
      </c>
      <c r="I444" s="46">
        <f t="shared" ca="1" si="420"/>
        <v>0</v>
      </c>
      <c r="J444" s="46">
        <f t="shared" ca="1" si="420"/>
        <v>0</v>
      </c>
      <c r="K444" s="46">
        <f t="shared" ca="1" si="420"/>
        <v>0</v>
      </c>
      <c r="L444" s="46"/>
      <c r="M444" s="152"/>
    </row>
    <row r="445" spans="1:13" hidden="1" outlineLevel="2">
      <c r="A445" s="43" t="str">
        <f ca="1">OFFSET(Язык!$A$168,0,LANGUAGE)</f>
        <v xml:space="preserve">    остаточная стоимость</v>
      </c>
      <c r="B445" s="41"/>
      <c r="C445" s="41" t="str">
        <f ca="1">CUR_Main</f>
        <v>$</v>
      </c>
      <c r="D445" s="43" t="s">
        <v>1742</v>
      </c>
      <c r="E445" s="43"/>
      <c r="F445" s="46">
        <v>0</v>
      </c>
      <c r="G445" s="46">
        <f t="shared" ref="G445:J445" ca="1" si="421">G439-G444</f>
        <v>0</v>
      </c>
      <c r="H445" s="46">
        <f t="shared" ca="1" si="421"/>
        <v>0</v>
      </c>
      <c r="I445" s="46">
        <f t="shared" ca="1" si="421"/>
        <v>0</v>
      </c>
      <c r="J445" s="46">
        <f t="shared" ca="1" si="421"/>
        <v>0</v>
      </c>
      <c r="K445" s="46">
        <f t="shared" ref="K445" ca="1" si="422">K439-K444</f>
        <v>0</v>
      </c>
      <c r="L445" s="46"/>
      <c r="M445" s="46"/>
    </row>
    <row r="446" spans="1:13" hidden="1" outlineLevel="2">
      <c r="A446" s="2" t="str">
        <f ca="1">OFFSET(Язык!$A$169,0,LANGUAGE)</f>
        <v xml:space="preserve">    выплаченный НДС</v>
      </c>
      <c r="B446" s="24">
        <f>VAT</f>
        <v>0.12</v>
      </c>
      <c r="C446" s="6" t="str">
        <f ca="1">CUR_Main</f>
        <v>$</v>
      </c>
      <c r="D446" s="2" t="s">
        <v>1855</v>
      </c>
      <c r="F446" s="46">
        <f t="shared" ref="F446:J446" si="423">F434*$B446</f>
        <v>0</v>
      </c>
      <c r="G446" s="46">
        <f t="shared" si="423"/>
        <v>0</v>
      </c>
      <c r="H446" s="46">
        <f t="shared" si="423"/>
        <v>0</v>
      </c>
      <c r="I446" s="46">
        <f t="shared" si="423"/>
        <v>0</v>
      </c>
      <c r="J446" s="46">
        <f t="shared" si="423"/>
        <v>0</v>
      </c>
      <c r="K446" s="46">
        <f t="shared" ref="K446" si="424">K434*$B446</f>
        <v>0</v>
      </c>
      <c r="L446" s="46"/>
      <c r="M446" s="152">
        <f>SUM(F446:K446)</f>
        <v>0</v>
      </c>
    </row>
    <row r="447" spans="1:13" hidden="1" outlineLevel="2">
      <c r="A447" s="2" t="str">
        <f ca="1">OFFSET(Язык!$A$170,0,LANGUAGE)</f>
        <v xml:space="preserve">    НДС к ранее осуществленным инвестициям</v>
      </c>
      <c r="B447" s="7">
        <f>B435*B446</f>
        <v>0</v>
      </c>
      <c r="C447" s="6" t="str">
        <f ca="1">CUR_Main</f>
        <v>$</v>
      </c>
      <c r="D447" s="2" t="s">
        <v>414</v>
      </c>
      <c r="F447" s="46"/>
      <c r="G447" s="46"/>
      <c r="H447" s="46"/>
      <c r="I447" s="46"/>
      <c r="J447" s="46"/>
      <c r="K447" s="46"/>
      <c r="L447" s="46"/>
      <c r="M447" s="46"/>
    </row>
    <row r="448" spans="1:13" hidden="1" outlineLevel="2">
      <c r="A448" s="43" t="str">
        <f ca="1">OFFSET(Язык!$A$171,0,LANGUAGE)</f>
        <v xml:space="preserve">    зачет НДС</v>
      </c>
      <c r="B448" s="41"/>
      <c r="C448" s="41" t="str">
        <f ca="1">CUR_Main</f>
        <v>$</v>
      </c>
      <c r="D448" s="43" t="s">
        <v>1856</v>
      </c>
      <c r="E448" s="43"/>
      <c r="F448" s="46">
        <f ca="1">IF(AND($B437=F$27,OR(VAT_OnAssets=1,F$637=0)),$B447+MIN($M446,SUM($F446:F446)),IF($B437&gt;F$27,0,F446+IF(AND(VAT_OnAssets=2,F$637=0),$B447+MIN($M446,SUM($E446:E446))-SUM($E448:E448),0)))</f>
        <v>0</v>
      </c>
      <c r="G448" s="46">
        <f ca="1">IF(AND($B437=G$27,OR(VAT_OnAssets=1,G$637=0)),$B447+MIN($M446,SUM($F446:G446)),IF($B437&gt;G$27,0,G446+IF(AND(VAT_OnAssets=2,G$637=0),$B447+MIN($M446,SUM($E446:F446))-SUM($E448:F448),0)))</f>
        <v>0</v>
      </c>
      <c r="H448" s="46">
        <f ca="1">IF(AND($B437=H$27,OR(VAT_OnAssets=1,H$637=0)),$B447+MIN($M446,SUM($F446:H446)),IF($B437&gt;H$27,0,H446+IF(AND(VAT_OnAssets=2,H$637=0),$B447+MIN($M446,SUM($E446:G446))-SUM($E448:G448),0)))</f>
        <v>0</v>
      </c>
      <c r="I448" s="46">
        <f ca="1">IF(AND($B437=I$27,OR(VAT_OnAssets=1,I$637=0)),$B447+MIN($M446,SUM($F446:I446)),IF($B437&gt;I$27,0,I446+IF(AND(VAT_OnAssets=2,I$637=0),$B447+MIN($M446,SUM($E446:H446))-SUM($E448:H448),0)))</f>
        <v>0</v>
      </c>
      <c r="J448" s="46">
        <f ca="1">IF(AND($B437=J$27,OR(VAT_OnAssets=1,J$637=0)),$B447+MIN($M446,SUM($F446:J446)),IF($B437&gt;J$27,0,J446+IF(AND(VAT_OnAssets=2,J$637=0),$B447+MIN($M446,SUM($E446:I446))-SUM($E448:I448),0)))</f>
        <v>0</v>
      </c>
      <c r="K448" s="46">
        <f ca="1">IF(AND($B437=K$27,OR(VAT_OnAssets=1,K$637=0)),$B447+MIN($M446,SUM($F446:K446)),IF($B437&gt;K$27,0,K446+IF(AND(VAT_OnAssets=2,K$637=0),$B447+MIN($M446,SUM($E446:J446))-SUM($E448:J448),0)))</f>
        <v>0</v>
      </c>
      <c r="L448" s="46"/>
      <c r="M448" s="152">
        <f ca="1">SUM(F448:K448)</f>
        <v>0</v>
      </c>
    </row>
    <row r="449" spans="1:13" outlineLevel="1">
      <c r="F449" s="26"/>
      <c r="G449" s="26"/>
      <c r="H449" s="26"/>
      <c r="I449" s="26"/>
      <c r="J449" s="26"/>
      <c r="K449" s="26"/>
      <c r="L449" s="26"/>
      <c r="M449" s="26"/>
    </row>
    <row r="450" spans="1:13" outlineLevel="1" collapsed="1">
      <c r="A450" s="47" t="str">
        <f ca="1">OFFSET(Язык!$A$626,0,LANGUAGE)</f>
        <v>Проценты по кредитам на инвестиционной фазе</v>
      </c>
      <c r="F450" s="26"/>
      <c r="G450" s="26">
        <f t="shared" ref="G450:J450" ca="1" si="425">IF(G27&lt;$B451,G633-G634,0)</f>
        <v>0</v>
      </c>
      <c r="H450" s="26">
        <f t="shared" ca="1" si="425"/>
        <v>0</v>
      </c>
      <c r="I450" s="26">
        <f t="shared" ca="1" si="425"/>
        <v>0</v>
      </c>
      <c r="J450" s="26">
        <f t="shared" ca="1" si="425"/>
        <v>0</v>
      </c>
      <c r="K450" s="26">
        <f t="shared" ref="K450" ca="1" si="426">IF(K27&lt;$B451,K633-K634,0)</f>
        <v>0</v>
      </c>
      <c r="L450" s="26"/>
      <c r="M450" s="30">
        <f ca="1">SUM(F450:K450)</f>
        <v>0</v>
      </c>
    </row>
    <row r="451" spans="1:13" hidden="1" outlineLevel="2">
      <c r="A451" s="2" t="str">
        <f ca="1">OFFSET(Язык!$A$627,0,LANGUAGE)</f>
        <v xml:space="preserve">    номер периода окончания инвестиционной фазы</v>
      </c>
      <c r="B451" s="7">
        <f ca="1">IF((M461+M473)&gt;0,MAX(B393,B414),0)</f>
        <v>2</v>
      </c>
      <c r="F451" s="26"/>
      <c r="G451" s="26"/>
      <c r="H451" s="26"/>
      <c r="I451" s="26"/>
      <c r="J451" s="26"/>
      <c r="K451" s="26"/>
      <c r="L451" s="26"/>
      <c r="M451" s="26"/>
    </row>
    <row r="452" spans="1:13" hidden="1" outlineLevel="2">
      <c r="A452" s="2" t="str">
        <f ca="1">OFFSET(Язык!$A$628,0,LANGUAGE)</f>
        <v xml:space="preserve">    незавершенные капитальные вложения</v>
      </c>
      <c r="D452" s="2" t="s">
        <v>1736</v>
      </c>
      <c r="F452" s="26"/>
      <c r="G452" s="26">
        <f t="shared" ref="G452:K452" ca="1" si="427">IF(G27&lt;$B451,F452+G450,0)</f>
        <v>0</v>
      </c>
      <c r="H452" s="26">
        <f t="shared" ca="1" si="427"/>
        <v>0</v>
      </c>
      <c r="I452" s="26">
        <f t="shared" ca="1" si="427"/>
        <v>0</v>
      </c>
      <c r="J452" s="26">
        <f t="shared" ca="1" si="427"/>
        <v>0</v>
      </c>
      <c r="K452" s="26">
        <f t="shared" ca="1" si="427"/>
        <v>0</v>
      </c>
      <c r="L452" s="26"/>
      <c r="M452" s="30"/>
    </row>
    <row r="453" spans="1:13" hidden="1" outlineLevel="2">
      <c r="A453" s="2" t="str">
        <f ca="1">OFFSET(Язык!$A$629,0,LANGUAGE)</f>
        <v xml:space="preserve">    балансовая стоимость</v>
      </c>
      <c r="D453" s="2" t="s">
        <v>1736</v>
      </c>
      <c r="F453" s="26"/>
      <c r="G453" s="26">
        <f t="shared" ref="G453:K453" ca="1" si="428">IF(G27&gt;=$B451,F453+F452,0)</f>
        <v>0</v>
      </c>
      <c r="H453" s="26">
        <f t="shared" ca="1" si="428"/>
        <v>0</v>
      </c>
      <c r="I453" s="26">
        <f t="shared" ca="1" si="428"/>
        <v>0</v>
      </c>
      <c r="J453" s="26">
        <f t="shared" ca="1" si="428"/>
        <v>0</v>
      </c>
      <c r="K453" s="26">
        <f t="shared" ca="1" si="428"/>
        <v>0</v>
      </c>
      <c r="L453" s="26"/>
      <c r="M453" s="30"/>
    </row>
    <row r="454" spans="1:13" hidden="1" outlineLevel="2">
      <c r="A454" s="2" t="str">
        <f ca="1">OFFSET(Язык!$A$630,0,LANGUAGE)</f>
        <v xml:space="preserve">    амортизационные отчисления</v>
      </c>
      <c r="B454" s="24">
        <v>0.1</v>
      </c>
      <c r="F454" s="26"/>
      <c r="G454" s="26">
        <f t="shared" ref="G454:K454" si="429">MIN(F453*$B454*PRJ_Step/360,F455)</f>
        <v>0</v>
      </c>
      <c r="H454" s="26">
        <f t="shared" ca="1" si="429"/>
        <v>0</v>
      </c>
      <c r="I454" s="26">
        <f t="shared" ca="1" si="429"/>
        <v>0</v>
      </c>
      <c r="J454" s="26">
        <f t="shared" ca="1" si="429"/>
        <v>0</v>
      </c>
      <c r="K454" s="26">
        <f t="shared" ca="1" si="429"/>
        <v>0</v>
      </c>
      <c r="L454" s="26"/>
      <c r="M454" s="30">
        <f ca="1">SUM(F454:K454)</f>
        <v>0</v>
      </c>
    </row>
    <row r="455" spans="1:13" hidden="1" outlineLevel="2">
      <c r="A455" s="2" t="str">
        <f ca="1">OFFSET(Язык!$A$631,0,LANGUAGE)</f>
        <v xml:space="preserve">    остаточная стоимость</v>
      </c>
      <c r="D455" s="2" t="s">
        <v>1736</v>
      </c>
      <c r="F455" s="26"/>
      <c r="G455" s="26">
        <f ca="1">G453-SUM($F454:G454)</f>
        <v>0</v>
      </c>
      <c r="H455" s="26">
        <f ca="1">H453-SUM($F454:H454)</f>
        <v>0</v>
      </c>
      <c r="I455" s="26">
        <f ca="1">I453-SUM($F454:I454)</f>
        <v>0</v>
      </c>
      <c r="J455" s="26">
        <f ca="1">J453-SUM($F454:J454)</f>
        <v>0</v>
      </c>
      <c r="K455" s="26">
        <f ca="1">K453-SUM($F454:K454)</f>
        <v>0</v>
      </c>
      <c r="L455" s="26"/>
      <c r="M455" s="30"/>
    </row>
    <row r="456" spans="1:13" outlineLevel="1" collapsed="1">
      <c r="A456" s="2" t="str">
        <f ca="1">OFFSET(Язык!$A$838,0,LANGUAGE)</f>
        <v>Общая величина ранее осуществленных инвестиций</v>
      </c>
      <c r="B456" s="6">
        <f>SUMIF($D388:$D449,"*1_20*",B388:B449)+SUMIF($D388:$D449,"*1_21*",B388:B449)</f>
        <v>0</v>
      </c>
      <c r="C456" s="6" t="str">
        <f ca="1">CUR_Main</f>
        <v>$</v>
      </c>
      <c r="F456" s="26"/>
      <c r="G456" s="26"/>
      <c r="H456" s="26"/>
      <c r="I456" s="26"/>
      <c r="J456" s="26"/>
      <c r="K456" s="26"/>
      <c r="L456" s="26"/>
      <c r="M456" s="26"/>
    </row>
    <row r="457" spans="1:13" hidden="1" outlineLevel="2">
      <c r="A457" s="2" t="str">
        <f ca="1">OFFSET(Язык!$A$841,0,LANGUAGE)</f>
        <v xml:space="preserve">    в том числе НДС</v>
      </c>
      <c r="B457" s="6">
        <f>SUMIF($D388:$D449,"*1_21*",B388:B449)</f>
        <v>0</v>
      </c>
      <c r="C457" s="6" t="str">
        <f ca="1">CUR_Main</f>
        <v>$</v>
      </c>
      <c r="F457" s="26"/>
      <c r="G457" s="26"/>
      <c r="H457" s="26"/>
      <c r="I457" s="26"/>
      <c r="J457" s="26"/>
      <c r="K457" s="26"/>
      <c r="L457" s="26"/>
      <c r="M457" s="26"/>
    </row>
    <row r="458" spans="1:13" hidden="1" outlineLevel="2">
      <c r="A458" s="2" t="str">
        <f ca="1">OFFSET(Язык!$A$839,0,LANGUAGE)</f>
        <v xml:space="preserve">    скорректировать на эту величину капитал в балансе?</v>
      </c>
      <c r="B458" s="7">
        <v>1</v>
      </c>
      <c r="C458" s="6" t="str">
        <f ca="1">OFFSET(Язык!$A$671,B458,LANGUAGE)</f>
        <v>да</v>
      </c>
      <c r="F458" s="26"/>
      <c r="G458" s="26"/>
      <c r="H458" s="26"/>
      <c r="I458" s="26"/>
      <c r="J458" s="26"/>
      <c r="K458" s="26"/>
      <c r="L458" s="26"/>
      <c r="M458" s="26"/>
    </row>
    <row r="459" spans="1:13" hidden="1" outlineLevel="2">
      <c r="A459" s="2" t="str">
        <f ca="1">OFFSET(Язык!$A$840,0,LANGUAGE)</f>
        <v xml:space="preserve">    учитывать при оценке эффективности в сумме:</v>
      </c>
      <c r="B459" s="7">
        <f>B456</f>
        <v>0</v>
      </c>
      <c r="C459" s="6" t="str">
        <f t="shared" ref="C459:C495" ca="1" si="430">CUR_Main</f>
        <v>$</v>
      </c>
      <c r="F459" s="26"/>
      <c r="G459" s="26"/>
      <c r="H459" s="26"/>
      <c r="I459" s="26"/>
      <c r="J459" s="26"/>
      <c r="K459" s="26"/>
      <c r="L459" s="26"/>
      <c r="M459" s="26"/>
    </row>
    <row r="460" spans="1:13" outlineLevel="1">
      <c r="A460" s="2" t="s">
        <v>677</v>
      </c>
      <c r="F460" s="26"/>
      <c r="G460" s="26"/>
      <c r="H460" s="26"/>
      <c r="I460" s="26"/>
      <c r="J460" s="26"/>
      <c r="K460" s="26"/>
      <c r="L460" s="26"/>
      <c r="M460" s="26"/>
    </row>
    <row r="461" spans="1:13" outlineLevel="1" collapsed="1">
      <c r="A461" s="32" t="str">
        <f ca="1">OFFSET(Язык!$A$190,0,LANGUAGE)</f>
        <v xml:space="preserve"> = Итого: Здания и сооружения</v>
      </c>
      <c r="C461" s="6" t="str">
        <f t="shared" ca="1" si="430"/>
        <v>$</v>
      </c>
      <c r="F461" s="26">
        <f t="shared" ref="F461:J461" si="431">SUMIF($D388:$D408,"*1_00*",F388:F408)+SUMIF($D388:$D408,"*2_00*",F388:F408)*F$98</f>
        <v>0</v>
      </c>
      <c r="G461" s="26">
        <f t="shared" si="431"/>
        <v>1609900</v>
      </c>
      <c r="H461" s="26">
        <f t="shared" si="431"/>
        <v>0</v>
      </c>
      <c r="I461" s="26">
        <f t="shared" si="431"/>
        <v>0</v>
      </c>
      <c r="J461" s="26">
        <f t="shared" si="431"/>
        <v>0</v>
      </c>
      <c r="K461" s="26">
        <f t="shared" ref="K461" si="432">SUMIF($D388:$D408,"*1_00*",K388:K408)+SUMIF($D388:$D408,"*2_00*",K388:K408)*K$98</f>
        <v>0</v>
      </c>
      <c r="L461" s="26"/>
      <c r="M461" s="27">
        <f>SUM(F461:K461)</f>
        <v>1609900</v>
      </c>
    </row>
    <row r="462" spans="1:13" hidden="1" outlineLevel="2">
      <c r="A462" s="60" t="str">
        <f ca="1">OFFSET(Язык!$A$178,0,LANGUAGE)</f>
        <v xml:space="preserve">    сумма платежей без НДС</v>
      </c>
      <c r="C462" s="6" t="str">
        <f t="shared" ca="1" si="430"/>
        <v>$</v>
      </c>
      <c r="F462" s="26">
        <f t="shared" ref="F462:J462" si="433">SUMIF($D388:$D408,"*1_01*",F388:F408)</f>
        <v>0</v>
      </c>
      <c r="G462" s="26">
        <f t="shared" si="433"/>
        <v>1437410.7142857141</v>
      </c>
      <c r="H462" s="26">
        <f t="shared" si="433"/>
        <v>0</v>
      </c>
      <c r="I462" s="26">
        <f t="shared" si="433"/>
        <v>0</v>
      </c>
      <c r="J462" s="26">
        <f t="shared" si="433"/>
        <v>0</v>
      </c>
      <c r="K462" s="26">
        <f t="shared" ref="K462" si="434">SUMIF($D388:$D408,"*1_01*",K388:K408)</f>
        <v>0</v>
      </c>
      <c r="L462" s="26"/>
      <c r="M462" s="30">
        <f t="shared" ref="M462:M495" si="435">SUM(F462:K462)</f>
        <v>1437410.7142857141</v>
      </c>
    </row>
    <row r="463" spans="1:13" hidden="1" outlineLevel="2">
      <c r="A463" s="60" t="str">
        <f ca="1">OFFSET(Язык!$A$179,0,LANGUAGE)</f>
        <v xml:space="preserve">    балансовая стоимость</v>
      </c>
      <c r="C463" s="6" t="str">
        <f t="shared" ca="1" si="430"/>
        <v>$</v>
      </c>
      <c r="D463" s="2" t="s">
        <v>1736</v>
      </c>
      <c r="F463" s="26">
        <f t="shared" ref="F463:J463" ca="1" si="436">SUMIF($D388:$D408,"*1_03*",F388:F408)</f>
        <v>0</v>
      </c>
      <c r="G463" s="26">
        <f t="shared" ca="1" si="436"/>
        <v>0</v>
      </c>
      <c r="H463" s="26">
        <f t="shared" ca="1" si="436"/>
        <v>1437410.7142857141</v>
      </c>
      <c r="I463" s="26">
        <f t="shared" ca="1" si="436"/>
        <v>1437410.7142857141</v>
      </c>
      <c r="J463" s="26">
        <f t="shared" ca="1" si="436"/>
        <v>1437410.7142857141</v>
      </c>
      <c r="K463" s="26">
        <f t="shared" ref="K463" ca="1" si="437">SUMIF($D388:$D408,"*1_03*",K388:K408)</f>
        <v>1437410.7142857141</v>
      </c>
      <c r="L463" s="26"/>
      <c r="M463" s="30"/>
    </row>
    <row r="464" spans="1:13" hidden="1" outlineLevel="2">
      <c r="A464" s="60" t="str">
        <f ca="1">OFFSET(Язык!$A$180,0,LANGUAGE)</f>
        <v xml:space="preserve">    незавершенные инвестиции</v>
      </c>
      <c r="C464" s="6" t="str">
        <f t="shared" ca="1" si="430"/>
        <v>$</v>
      </c>
      <c r="D464" s="2" t="s">
        <v>1736</v>
      </c>
      <c r="F464" s="26">
        <f t="shared" ref="F464:J464" ca="1" si="438">SUMIF($D388:$D408,"*1_04*",F388:F408)</f>
        <v>0</v>
      </c>
      <c r="G464" s="26">
        <f t="shared" ca="1" si="438"/>
        <v>1437410.7142857141</v>
      </c>
      <c r="H464" s="26">
        <f t="shared" ca="1" si="438"/>
        <v>0</v>
      </c>
      <c r="I464" s="26">
        <f t="shared" ca="1" si="438"/>
        <v>0</v>
      </c>
      <c r="J464" s="26">
        <f t="shared" ca="1" si="438"/>
        <v>0</v>
      </c>
      <c r="K464" s="26">
        <f t="shared" ref="K464" ca="1" si="439">SUMIF($D388:$D408,"*1_04*",K388:K408)</f>
        <v>0</v>
      </c>
      <c r="L464" s="26"/>
      <c r="M464" s="30"/>
    </row>
    <row r="465" spans="1:13" hidden="1" outlineLevel="2">
      <c r="A465" s="60" t="str">
        <f ca="1">OFFSET(Язык!$A$181,0,LANGUAGE)</f>
        <v xml:space="preserve">    кредиторская задолженность</v>
      </c>
      <c r="C465" s="6" t="str">
        <f t="shared" ca="1" si="430"/>
        <v>$</v>
      </c>
      <c r="D465" s="2" t="s">
        <v>1736</v>
      </c>
      <c r="F465" s="26">
        <f t="shared" ref="F465:J465" si="440">SUMIF($D388:$D408,"*1_05*",F388:F408)</f>
        <v>0</v>
      </c>
      <c r="G465" s="26">
        <f t="shared" ca="1" si="440"/>
        <v>0</v>
      </c>
      <c r="H465" s="26">
        <f t="shared" ca="1" si="440"/>
        <v>0</v>
      </c>
      <c r="I465" s="26">
        <f t="shared" ca="1" si="440"/>
        <v>0</v>
      </c>
      <c r="J465" s="26">
        <f t="shared" ca="1" si="440"/>
        <v>0</v>
      </c>
      <c r="K465" s="26">
        <f t="shared" ref="K465" ca="1" si="441">SUMIF($D388:$D408,"*1_05*",K388:K408)</f>
        <v>0</v>
      </c>
      <c r="L465" s="26"/>
      <c r="M465" s="30"/>
    </row>
    <row r="466" spans="1:13" hidden="1" outlineLevel="2">
      <c r="A466" s="60" t="str">
        <f ca="1">OFFSET(Язык!$A$182,0,LANGUAGE)</f>
        <v xml:space="preserve">    амортизация</v>
      </c>
      <c r="C466" s="6" t="str">
        <f t="shared" ca="1" si="430"/>
        <v>$</v>
      </c>
      <c r="F466" s="26">
        <f t="shared" ref="F466:J466" si="442">(SUMIF($D388:$D408,"*1_06*",F388:F408)+SUMIF($D388:$D408,"*1_07*",F388:F408))</f>
        <v>0</v>
      </c>
      <c r="G466" s="26">
        <f t="shared" ca="1" si="442"/>
        <v>0</v>
      </c>
      <c r="H466" s="26">
        <f t="shared" ca="1" si="442"/>
        <v>71870.53571428571</v>
      </c>
      <c r="I466" s="26">
        <f t="shared" ca="1" si="442"/>
        <v>71870.53571428571</v>
      </c>
      <c r="J466" s="26">
        <f t="shared" ca="1" si="442"/>
        <v>71870.53571428571</v>
      </c>
      <c r="K466" s="26">
        <f t="shared" ref="K466" ca="1" si="443">(SUMIF($D388:$D408,"*1_06*",K388:K408)+SUMIF($D388:$D408,"*1_07*",K388:K408))</f>
        <v>71870.53571428571</v>
      </c>
      <c r="L466" s="26"/>
      <c r="M466" s="30">
        <f t="shared" ca="1" si="435"/>
        <v>287482.14285714284</v>
      </c>
    </row>
    <row r="467" spans="1:13" hidden="1" outlineLevel="2">
      <c r="A467" s="60" t="str">
        <f ca="1">OFFSET(Язык!$A$183,0,LANGUAGE)</f>
        <v xml:space="preserve">    остаточная стоимость</v>
      </c>
      <c r="C467" s="6" t="str">
        <f t="shared" ca="1" si="430"/>
        <v>$</v>
      </c>
      <c r="D467" s="2" t="s">
        <v>1736</v>
      </c>
      <c r="F467" s="26">
        <f t="shared" ref="F467:J467" si="444">SUMIF($D388:$D408,"*1_09*",F388:F408)</f>
        <v>0</v>
      </c>
      <c r="G467" s="26">
        <f t="shared" ca="1" si="444"/>
        <v>0</v>
      </c>
      <c r="H467" s="26">
        <f t="shared" ca="1" si="444"/>
        <v>1365540.1785714284</v>
      </c>
      <c r="I467" s="26">
        <f t="shared" ca="1" si="444"/>
        <v>1293669.6428571427</v>
      </c>
      <c r="J467" s="26">
        <f t="shared" ca="1" si="444"/>
        <v>1221799.107142857</v>
      </c>
      <c r="K467" s="26">
        <f t="shared" ref="K467" ca="1" si="445">SUMIF($D388:$D408,"*1_09*",K388:K408)</f>
        <v>1149928.5714285714</v>
      </c>
      <c r="L467" s="26"/>
      <c r="M467" s="30"/>
    </row>
    <row r="468" spans="1:13" hidden="1" outlineLevel="2">
      <c r="A468" s="45" t="str">
        <f ca="1">OFFSET(Язык!$A$185,0,LANGUAGE)</f>
        <v xml:space="preserve">    выплаченный НДС</v>
      </c>
      <c r="C468" s="6" t="str">
        <f t="shared" ca="1" si="430"/>
        <v>$</v>
      </c>
      <c r="F468" s="26">
        <f t="shared" ref="F468:J468" si="446">SUMIF($D388:$D408,"*1_10*",F388:F408)</f>
        <v>0</v>
      </c>
      <c r="G468" s="26">
        <f t="shared" si="446"/>
        <v>172489.28571428568</v>
      </c>
      <c r="H468" s="26">
        <f t="shared" si="446"/>
        <v>0</v>
      </c>
      <c r="I468" s="26">
        <f t="shared" si="446"/>
        <v>0</v>
      </c>
      <c r="J468" s="26">
        <f t="shared" si="446"/>
        <v>0</v>
      </c>
      <c r="K468" s="26">
        <f t="shared" ref="K468" si="447">SUMIF($D388:$D408,"*1_10*",K388:K408)</f>
        <v>0</v>
      </c>
      <c r="L468" s="26"/>
      <c r="M468" s="30">
        <f t="shared" si="435"/>
        <v>172489.28571428568</v>
      </c>
    </row>
    <row r="469" spans="1:13" hidden="1" outlineLevel="2">
      <c r="A469" s="45" t="str">
        <f ca="1">OFFSET(Язык!$A$186,0,LANGUAGE)</f>
        <v xml:space="preserve">    зачет НДС</v>
      </c>
      <c r="C469" s="6" t="str">
        <f t="shared" ca="1" si="430"/>
        <v>$</v>
      </c>
      <c r="F469" s="26">
        <f t="shared" ref="F469:J469" ca="1" si="448">SUMIF($D388:$D408,"*1_11*",F388:F408)</f>
        <v>0</v>
      </c>
      <c r="G469" s="26">
        <f t="shared" ca="1" si="448"/>
        <v>0</v>
      </c>
      <c r="H469" s="26">
        <f t="shared" ca="1" si="448"/>
        <v>172489.28571428568</v>
      </c>
      <c r="I469" s="26">
        <f t="shared" ca="1" si="448"/>
        <v>0</v>
      </c>
      <c r="J469" s="26">
        <f t="shared" ca="1" si="448"/>
        <v>0</v>
      </c>
      <c r="K469" s="26">
        <f t="shared" ref="K469" ca="1" si="449">SUMIF($D388:$D408,"*1_11*",K388:K408)</f>
        <v>0</v>
      </c>
      <c r="L469" s="26"/>
      <c r="M469" s="30">
        <f t="shared" ca="1" si="435"/>
        <v>172489.28571428568</v>
      </c>
    </row>
    <row r="470" spans="1:13" hidden="1" outlineLevel="2">
      <c r="A470" s="45" t="str">
        <f ca="1">OFFSET(Язык!$A$187,0,LANGUAGE)</f>
        <v xml:space="preserve">    реализация активов (без НДС)</v>
      </c>
      <c r="C470" s="6" t="str">
        <f t="shared" ca="1" si="430"/>
        <v>$</v>
      </c>
      <c r="F470" s="26">
        <f t="shared" ref="F470:J470" si="450">SUMIF($D388:$D408,"*1_12*",F388:F408)</f>
        <v>0</v>
      </c>
      <c r="G470" s="26">
        <f t="shared" si="450"/>
        <v>0</v>
      </c>
      <c r="H470" s="26">
        <f t="shared" si="450"/>
        <v>0</v>
      </c>
      <c r="I470" s="26">
        <f t="shared" si="450"/>
        <v>0</v>
      </c>
      <c r="J470" s="26">
        <f t="shared" si="450"/>
        <v>0</v>
      </c>
      <c r="K470" s="26">
        <f t="shared" ref="K470" si="451">SUMIF($D388:$D408,"*1_12*",K388:K408)</f>
        <v>0</v>
      </c>
      <c r="L470" s="26"/>
      <c r="M470" s="30">
        <f t="shared" si="435"/>
        <v>0</v>
      </c>
    </row>
    <row r="471" spans="1:13" hidden="1" outlineLevel="2">
      <c r="A471" s="45" t="str">
        <f ca="1">OFFSET(Язык!$A$188,0,LANGUAGE)</f>
        <v xml:space="preserve">    прибыль/убыток от реализации активов</v>
      </c>
      <c r="C471" s="6" t="str">
        <f t="shared" ca="1" si="430"/>
        <v>$</v>
      </c>
      <c r="F471" s="26">
        <f t="shared" ref="F471:J471" si="452">SUMIF($D388:$D408,"*1_13*",F388:F408)</f>
        <v>0</v>
      </c>
      <c r="G471" s="26">
        <f t="shared" si="452"/>
        <v>0</v>
      </c>
      <c r="H471" s="26">
        <f t="shared" si="452"/>
        <v>0</v>
      </c>
      <c r="I471" s="26">
        <f t="shared" si="452"/>
        <v>0</v>
      </c>
      <c r="J471" s="26">
        <f t="shared" si="452"/>
        <v>0</v>
      </c>
      <c r="K471" s="26">
        <f t="shared" ref="K471" si="453">SUMIF($D388:$D408,"*1_13*",K388:K408)</f>
        <v>0</v>
      </c>
      <c r="L471" s="26"/>
      <c r="M471" s="30">
        <f t="shared" si="435"/>
        <v>0</v>
      </c>
    </row>
    <row r="472" spans="1:13" hidden="1" outlineLevel="2">
      <c r="A472" s="45" t="str">
        <f ca="1">OFFSET(Язык!$A$189,0,LANGUAGE)</f>
        <v xml:space="preserve">    НДС к выручке от реализации активов</v>
      </c>
      <c r="C472" s="6" t="str">
        <f t="shared" ca="1" si="430"/>
        <v>$</v>
      </c>
      <c r="F472" s="26">
        <f t="shared" ref="F472:J472" si="454">SUMIF($D388:$D408,"*1_14*",F388:F408)</f>
        <v>0</v>
      </c>
      <c r="G472" s="26">
        <f t="shared" si="454"/>
        <v>0</v>
      </c>
      <c r="H472" s="26">
        <f t="shared" si="454"/>
        <v>0</v>
      </c>
      <c r="I472" s="26">
        <f t="shared" si="454"/>
        <v>0</v>
      </c>
      <c r="J472" s="26">
        <f t="shared" si="454"/>
        <v>0</v>
      </c>
      <c r="K472" s="26">
        <f t="shared" ref="K472" si="455">SUMIF($D388:$D408,"*1_14*",K388:K408)</f>
        <v>0</v>
      </c>
      <c r="L472" s="26"/>
      <c r="M472" s="30">
        <f t="shared" si="435"/>
        <v>0</v>
      </c>
    </row>
    <row r="473" spans="1:13" outlineLevel="1" collapsed="1">
      <c r="A473" s="32" t="str">
        <f ca="1">OFFSET(Язык!$A$177,0,LANGUAGE)</f>
        <v xml:space="preserve"> = Итого: Оборудование и другие основные фонды</v>
      </c>
      <c r="C473" s="6" t="str">
        <f t="shared" ca="1" si="430"/>
        <v>$</v>
      </c>
      <c r="F473" s="26">
        <f t="shared" ref="F473:J473" si="456">(SUMIF($D409:$D431,"*1_00*",F409:F431)+SUMIF($D409:$D431,"*2_00*",F409:F431)*F$98)</f>
        <v>0</v>
      </c>
      <c r="G473" s="26">
        <f t="shared" si="456"/>
        <v>1296100</v>
      </c>
      <c r="H473" s="26">
        <f t="shared" si="456"/>
        <v>0</v>
      </c>
      <c r="I473" s="26">
        <f t="shared" si="456"/>
        <v>0</v>
      </c>
      <c r="J473" s="26">
        <f t="shared" si="456"/>
        <v>0</v>
      </c>
      <c r="K473" s="26">
        <f t="shared" ref="K473" si="457">(SUMIF($D409:$D431,"*1_00*",K409:K431)+SUMIF($D409:$D431,"*2_00*",K409:K431)*K$98)</f>
        <v>0</v>
      </c>
      <c r="L473" s="26"/>
      <c r="M473" s="27">
        <f t="shared" si="435"/>
        <v>1296100</v>
      </c>
    </row>
    <row r="474" spans="1:13" hidden="1" outlineLevel="2">
      <c r="A474" s="47" t="str">
        <f ca="1">OFFSET(Язык!$A$178,0,LANGUAGE)</f>
        <v xml:space="preserve">    сумма платежей без НДС</v>
      </c>
      <c r="C474" s="6" t="str">
        <f t="shared" ca="1" si="430"/>
        <v>$</v>
      </c>
      <c r="F474" s="26">
        <f t="shared" ref="F474:J474" si="458">SUMIF($D409:$D431,"*1_01*",F409:F431)</f>
        <v>0</v>
      </c>
      <c r="G474" s="26">
        <f t="shared" si="458"/>
        <v>1157232.1428571427</v>
      </c>
      <c r="H474" s="26">
        <f t="shared" si="458"/>
        <v>0</v>
      </c>
      <c r="I474" s="26">
        <f t="shared" si="458"/>
        <v>0</v>
      </c>
      <c r="J474" s="26">
        <f t="shared" si="458"/>
        <v>0</v>
      </c>
      <c r="K474" s="26">
        <f t="shared" ref="K474" si="459">SUMIF($D409:$D431,"*1_01*",K409:K431)</f>
        <v>0</v>
      </c>
      <c r="L474" s="26"/>
      <c r="M474" s="30">
        <f t="shared" si="435"/>
        <v>1157232.1428571427</v>
      </c>
    </row>
    <row r="475" spans="1:13" hidden="1" outlineLevel="2">
      <c r="A475" s="47" t="str">
        <f ca="1">OFFSET(Язык!$A$179,0,LANGUAGE)</f>
        <v xml:space="preserve">    балансовая стоимость</v>
      </c>
      <c r="C475" s="6" t="str">
        <f t="shared" ca="1" si="430"/>
        <v>$</v>
      </c>
      <c r="D475" s="2" t="s">
        <v>1736</v>
      </c>
      <c r="F475" s="26">
        <f t="shared" ref="F475:J475" ca="1" si="460">SUMIF($D409:$D431,"*1_03*",F409:F431)+F453</f>
        <v>0</v>
      </c>
      <c r="G475" s="26">
        <f t="shared" ca="1" si="460"/>
        <v>0</v>
      </c>
      <c r="H475" s="26">
        <f t="shared" ca="1" si="460"/>
        <v>1157232.1428571427</v>
      </c>
      <c r="I475" s="26">
        <f t="shared" ca="1" si="460"/>
        <v>1157232.1428571427</v>
      </c>
      <c r="J475" s="26">
        <f t="shared" ca="1" si="460"/>
        <v>1157232.1428571427</v>
      </c>
      <c r="K475" s="26">
        <f t="shared" ref="K475" ca="1" si="461">SUMIF($D409:$D431,"*1_03*",K409:K431)+K453</f>
        <v>1157232.1428571427</v>
      </c>
      <c r="L475" s="26"/>
      <c r="M475" s="30"/>
    </row>
    <row r="476" spans="1:13" hidden="1" outlineLevel="2">
      <c r="A476" s="47" t="str">
        <f ca="1">OFFSET(Язык!$A$180,0,LANGUAGE)</f>
        <v xml:space="preserve">    незавершенные инвестиции</v>
      </c>
      <c r="C476" s="6" t="str">
        <f t="shared" ca="1" si="430"/>
        <v>$</v>
      </c>
      <c r="D476" s="2" t="s">
        <v>1736</v>
      </c>
      <c r="F476" s="26">
        <f t="shared" ref="F476:J476" ca="1" si="462">SUMIF($D409:$D431,"*1_04*",F409:F431)+F452</f>
        <v>0</v>
      </c>
      <c r="G476" s="26">
        <f t="shared" ca="1" si="462"/>
        <v>1157232.1428571427</v>
      </c>
      <c r="H476" s="26">
        <f t="shared" ca="1" si="462"/>
        <v>0</v>
      </c>
      <c r="I476" s="26">
        <f t="shared" ca="1" si="462"/>
        <v>0</v>
      </c>
      <c r="J476" s="26">
        <f t="shared" ca="1" si="462"/>
        <v>0</v>
      </c>
      <c r="K476" s="26">
        <f t="shared" ref="K476" ca="1" si="463">SUMIF($D409:$D431,"*1_04*",K409:K431)+K452</f>
        <v>0</v>
      </c>
      <c r="L476" s="26"/>
      <c r="M476" s="30"/>
    </row>
    <row r="477" spans="1:13" hidden="1" outlineLevel="2">
      <c r="A477" s="47" t="str">
        <f ca="1">OFFSET(Язык!$A$181,0,LANGUAGE)</f>
        <v xml:space="preserve">    кредиторская задолженность</v>
      </c>
      <c r="C477" s="6" t="str">
        <f t="shared" ca="1" si="430"/>
        <v>$</v>
      </c>
      <c r="D477" s="2" t="s">
        <v>1736</v>
      </c>
      <c r="F477" s="26">
        <f t="shared" ref="F477:J477" si="464">SUMIF($D409:$D431,"*1_05*",F409:F431)</f>
        <v>0</v>
      </c>
      <c r="G477" s="26">
        <f t="shared" ca="1" si="464"/>
        <v>0</v>
      </c>
      <c r="H477" s="26">
        <f t="shared" ca="1" si="464"/>
        <v>0</v>
      </c>
      <c r="I477" s="26">
        <f t="shared" ca="1" si="464"/>
        <v>0</v>
      </c>
      <c r="J477" s="26">
        <f t="shared" ca="1" si="464"/>
        <v>0</v>
      </c>
      <c r="K477" s="26">
        <f t="shared" ref="K477" ca="1" si="465">SUMIF($D409:$D431,"*1_05*",K409:K431)</f>
        <v>0</v>
      </c>
      <c r="L477" s="26"/>
      <c r="M477" s="30"/>
    </row>
    <row r="478" spans="1:13" hidden="1" outlineLevel="2">
      <c r="A478" s="47" t="str">
        <f ca="1">OFFSET(Язык!$A$182,0,LANGUAGE)</f>
        <v xml:space="preserve">    амортизация</v>
      </c>
      <c r="C478" s="6" t="str">
        <f t="shared" ca="1" si="430"/>
        <v>$</v>
      </c>
      <c r="F478" s="26">
        <f t="shared" ref="F478:J478" si="466">(SUMIF($D409:$D431,"*1_06*",F409:F431)+SUMIF($D409:$D431,"*1_07*",F409:F431))+F454</f>
        <v>0</v>
      </c>
      <c r="G478" s="26">
        <f t="shared" ca="1" si="466"/>
        <v>0</v>
      </c>
      <c r="H478" s="26">
        <f t="shared" ca="1" si="466"/>
        <v>231446.42857142858</v>
      </c>
      <c r="I478" s="26">
        <f t="shared" ca="1" si="466"/>
        <v>231446.42857142858</v>
      </c>
      <c r="J478" s="26">
        <f t="shared" ca="1" si="466"/>
        <v>231446.42857142858</v>
      </c>
      <c r="K478" s="26">
        <f t="shared" ref="K478" ca="1" si="467">(SUMIF($D409:$D431,"*1_06*",K409:K431)+SUMIF($D409:$D431,"*1_07*",K409:K431))+K454</f>
        <v>231446.42857142858</v>
      </c>
      <c r="L478" s="26"/>
      <c r="M478" s="30">
        <f t="shared" ca="1" si="435"/>
        <v>925785.71428571432</v>
      </c>
    </row>
    <row r="479" spans="1:13" hidden="1" outlineLevel="2">
      <c r="A479" s="47" t="str">
        <f ca="1">OFFSET(Язык!$A$183,0,LANGUAGE)</f>
        <v xml:space="preserve">    остаточная стоимость</v>
      </c>
      <c r="C479" s="6" t="str">
        <f t="shared" ca="1" si="430"/>
        <v>$</v>
      </c>
      <c r="D479" s="2" t="s">
        <v>1736</v>
      </c>
      <c r="F479" s="26">
        <f t="shared" ref="F479:J479" si="468">SUMIF($D409:$D431,"*1_09*",F409:F431)+F455</f>
        <v>0</v>
      </c>
      <c r="G479" s="26">
        <f t="shared" ca="1" si="468"/>
        <v>0</v>
      </c>
      <c r="H479" s="26">
        <f t="shared" ca="1" si="468"/>
        <v>925785.71428571409</v>
      </c>
      <c r="I479" s="26">
        <f t="shared" ca="1" si="468"/>
        <v>694339.28571428556</v>
      </c>
      <c r="J479" s="26">
        <f t="shared" ca="1" si="468"/>
        <v>462892.85714285704</v>
      </c>
      <c r="K479" s="26">
        <f t="shared" ref="K479" ca="1" si="469">SUMIF($D409:$D431,"*1_09*",K409:K431)+K455</f>
        <v>231446.42857142841</v>
      </c>
      <c r="L479" s="26"/>
      <c r="M479" s="30"/>
    </row>
    <row r="480" spans="1:13" hidden="1" outlineLevel="2">
      <c r="A480" s="47" t="str">
        <f ca="1">OFFSET(Язык!$A$184,0,LANGUAGE)</f>
        <v xml:space="preserve">    дополнительная пошлина при импорте</v>
      </c>
      <c r="C480" s="6" t="str">
        <f t="shared" ca="1" si="430"/>
        <v>$</v>
      </c>
      <c r="F480" s="26">
        <f t="shared" ref="F480:J480" si="470">SUMIF($D409:$D431,"*1_15*",F409:F431)</f>
        <v>0</v>
      </c>
      <c r="G480" s="26">
        <f t="shared" si="470"/>
        <v>0</v>
      </c>
      <c r="H480" s="26">
        <f t="shared" si="470"/>
        <v>0</v>
      </c>
      <c r="I480" s="26">
        <f t="shared" si="470"/>
        <v>0</v>
      </c>
      <c r="J480" s="26">
        <f t="shared" si="470"/>
        <v>0</v>
      </c>
      <c r="K480" s="26">
        <f t="shared" ref="K480" si="471">SUMIF($D409:$D431,"*1_15*",K409:K431)</f>
        <v>0</v>
      </c>
      <c r="L480" s="26"/>
      <c r="M480" s="30">
        <f t="shared" si="435"/>
        <v>0</v>
      </c>
    </row>
    <row r="481" spans="1:13" hidden="1" outlineLevel="2">
      <c r="A481" s="47" t="str">
        <f ca="1">OFFSET(Язык!$A$185,0,LANGUAGE)</f>
        <v xml:space="preserve">    выплаченный НДС</v>
      </c>
      <c r="C481" s="6" t="str">
        <f t="shared" ca="1" si="430"/>
        <v>$</v>
      </c>
      <c r="F481" s="26">
        <f t="shared" ref="F481:J481" si="472">SUMIF($D409:$D431,"*1_10*",F409:F431)</f>
        <v>0</v>
      </c>
      <c r="G481" s="26">
        <f t="shared" si="472"/>
        <v>138867.85714285713</v>
      </c>
      <c r="H481" s="26">
        <f t="shared" si="472"/>
        <v>0</v>
      </c>
      <c r="I481" s="26">
        <f t="shared" si="472"/>
        <v>0</v>
      </c>
      <c r="J481" s="26">
        <f t="shared" si="472"/>
        <v>0</v>
      </c>
      <c r="K481" s="26">
        <f t="shared" ref="K481" si="473">SUMIF($D409:$D431,"*1_10*",K409:K431)</f>
        <v>0</v>
      </c>
      <c r="L481" s="26"/>
      <c r="M481" s="30">
        <f t="shared" si="435"/>
        <v>138867.85714285713</v>
      </c>
    </row>
    <row r="482" spans="1:13" hidden="1" outlineLevel="2">
      <c r="A482" s="47" t="str">
        <f ca="1">OFFSET(Язык!$A$186,0,LANGUAGE)</f>
        <v xml:space="preserve">    зачет НДС</v>
      </c>
      <c r="C482" s="6" t="str">
        <f t="shared" ca="1" si="430"/>
        <v>$</v>
      </c>
      <c r="F482" s="26">
        <f t="shared" ref="F482:J482" ca="1" si="474">SUMIF($D409:$D431,"*1_11*",F409:F431)</f>
        <v>0</v>
      </c>
      <c r="G482" s="26">
        <f t="shared" ca="1" si="474"/>
        <v>0</v>
      </c>
      <c r="H482" s="26">
        <f t="shared" ca="1" si="474"/>
        <v>138867.85714285713</v>
      </c>
      <c r="I482" s="26">
        <f t="shared" ca="1" si="474"/>
        <v>0</v>
      </c>
      <c r="J482" s="26">
        <f t="shared" ca="1" si="474"/>
        <v>0</v>
      </c>
      <c r="K482" s="26">
        <f t="shared" ref="K482" ca="1" si="475">SUMIF($D409:$D431,"*1_11*",K409:K431)</f>
        <v>0</v>
      </c>
      <c r="L482" s="26"/>
      <c r="M482" s="30">
        <f t="shared" ca="1" si="435"/>
        <v>138867.85714285713</v>
      </c>
    </row>
    <row r="483" spans="1:13" hidden="1" outlineLevel="2">
      <c r="A483" s="47" t="str">
        <f ca="1">OFFSET(Язык!$A$187,0,LANGUAGE)</f>
        <v xml:space="preserve">    реализация активов (без НДС)</v>
      </c>
      <c r="C483" s="6" t="str">
        <f t="shared" ca="1" si="430"/>
        <v>$</v>
      </c>
      <c r="F483" s="26">
        <f t="shared" ref="F483:J483" si="476">SUMIF($D409:$D431,"*1_12*",F409:F431)</f>
        <v>0</v>
      </c>
      <c r="G483" s="26">
        <f t="shared" si="476"/>
        <v>0</v>
      </c>
      <c r="H483" s="26">
        <f t="shared" si="476"/>
        <v>0</v>
      </c>
      <c r="I483" s="26">
        <f t="shared" si="476"/>
        <v>0</v>
      </c>
      <c r="J483" s="26">
        <f t="shared" si="476"/>
        <v>0</v>
      </c>
      <c r="K483" s="26">
        <f t="shared" ref="K483" si="477">SUMIF($D409:$D431,"*1_12*",K409:K431)</f>
        <v>0</v>
      </c>
      <c r="L483" s="26"/>
      <c r="M483" s="30">
        <f t="shared" si="435"/>
        <v>0</v>
      </c>
    </row>
    <row r="484" spans="1:13" hidden="1" outlineLevel="2">
      <c r="A484" s="47" t="str">
        <f ca="1">OFFSET(Язык!$A$188,0,LANGUAGE)</f>
        <v xml:space="preserve">    прибыль/убыток от реализации активов</v>
      </c>
      <c r="C484" s="6" t="str">
        <f t="shared" ca="1" si="430"/>
        <v>$</v>
      </c>
      <c r="F484" s="26">
        <f t="shared" ref="F484:J484" si="478">SUMIF($D409:$D431,"*1_13*",F409:F431)</f>
        <v>0</v>
      </c>
      <c r="G484" s="26">
        <f t="shared" si="478"/>
        <v>0</v>
      </c>
      <c r="H484" s="26">
        <f t="shared" si="478"/>
        <v>0</v>
      </c>
      <c r="I484" s="26">
        <f t="shared" si="478"/>
        <v>0</v>
      </c>
      <c r="J484" s="26">
        <f t="shared" si="478"/>
        <v>0</v>
      </c>
      <c r="K484" s="26">
        <f t="shared" ref="K484" si="479">SUMIF($D409:$D431,"*1_13*",K409:K431)</f>
        <v>0</v>
      </c>
      <c r="L484" s="26"/>
      <c r="M484" s="30">
        <f t="shared" si="435"/>
        <v>0</v>
      </c>
    </row>
    <row r="485" spans="1:13" hidden="1" outlineLevel="2">
      <c r="A485" s="47" t="str">
        <f ca="1">OFFSET(Язык!$A$189,0,LANGUAGE)</f>
        <v xml:space="preserve">    НДС к выручке от реализации активов</v>
      </c>
      <c r="C485" s="6" t="str">
        <f t="shared" ca="1" si="430"/>
        <v>$</v>
      </c>
      <c r="F485" s="26">
        <f t="shared" ref="F485:J485" si="480">SUMIF($D409:$D431,"*1_14*",F409:F431)</f>
        <v>0</v>
      </c>
      <c r="G485" s="26">
        <f t="shared" si="480"/>
        <v>0</v>
      </c>
      <c r="H485" s="26">
        <f t="shared" si="480"/>
        <v>0</v>
      </c>
      <c r="I485" s="26">
        <f t="shared" si="480"/>
        <v>0</v>
      </c>
      <c r="J485" s="26">
        <f t="shared" si="480"/>
        <v>0</v>
      </c>
      <c r="K485" s="26">
        <f t="shared" ref="K485" si="481">SUMIF($D409:$D431,"*1_14*",K409:K431)</f>
        <v>0</v>
      </c>
      <c r="L485" s="26"/>
      <c r="M485" s="30">
        <f t="shared" si="435"/>
        <v>0</v>
      </c>
    </row>
    <row r="486" spans="1:13" outlineLevel="1" collapsed="1">
      <c r="A486" s="32" t="str">
        <f ca="1">OFFSET(Язык!$A$191,0,LANGUAGE)</f>
        <v xml:space="preserve"> = Итого: Расходы будущих периодов</v>
      </c>
      <c r="C486" s="6" t="str">
        <f t="shared" ca="1" si="430"/>
        <v>$</v>
      </c>
      <c r="F486" s="26">
        <f t="shared" ref="F486:J486" si="482">(SUMIF($D432:$D449,"*1_00*",F432:F449)+SUMIF($D432:$D449,"*2_00*",F432:F449)*F$98)</f>
        <v>0</v>
      </c>
      <c r="G486" s="26">
        <f t="shared" si="482"/>
        <v>0</v>
      </c>
      <c r="H486" s="26">
        <f t="shared" si="482"/>
        <v>0</v>
      </c>
      <c r="I486" s="26">
        <f t="shared" si="482"/>
        <v>0</v>
      </c>
      <c r="J486" s="26">
        <f t="shared" si="482"/>
        <v>0</v>
      </c>
      <c r="K486" s="26">
        <f t="shared" ref="K486" si="483">(SUMIF($D432:$D449,"*1_00*",K432:K449)+SUMIF($D432:$D449,"*2_00*",K432:K449)*K$98)</f>
        <v>0</v>
      </c>
      <c r="L486" s="26"/>
      <c r="M486" s="27">
        <f t="shared" si="435"/>
        <v>0</v>
      </c>
    </row>
    <row r="487" spans="1:13" hidden="1" outlineLevel="2">
      <c r="A487" s="60" t="str">
        <f ca="1">OFFSET(Язык!$A$178,0,LANGUAGE)</f>
        <v xml:space="preserve">    сумма платежей без НДС</v>
      </c>
      <c r="C487" s="6" t="str">
        <f t="shared" ca="1" si="430"/>
        <v>$</v>
      </c>
      <c r="F487" s="26">
        <f t="shared" ref="F487:J487" si="484">SUMIF($D432:$D449,"*1_01*",F432:F449)</f>
        <v>0</v>
      </c>
      <c r="G487" s="26">
        <f t="shared" si="484"/>
        <v>0</v>
      </c>
      <c r="H487" s="26">
        <f t="shared" si="484"/>
        <v>0</v>
      </c>
      <c r="I487" s="26">
        <f t="shared" si="484"/>
        <v>0</v>
      </c>
      <c r="J487" s="26">
        <f t="shared" si="484"/>
        <v>0</v>
      </c>
      <c r="K487" s="26">
        <f t="shared" ref="K487" si="485">SUMIF($D432:$D449,"*1_01*",K432:K449)</f>
        <v>0</v>
      </c>
      <c r="L487" s="26"/>
      <c r="M487" s="30">
        <f t="shared" si="435"/>
        <v>0</v>
      </c>
    </row>
    <row r="488" spans="1:13" hidden="1" outlineLevel="2">
      <c r="A488" s="60" t="str">
        <f ca="1">OFFSET(Язык!$A$179,0,LANGUAGE)</f>
        <v xml:space="preserve">    балансовая стоимость</v>
      </c>
      <c r="C488" s="6" t="str">
        <f t="shared" ca="1" si="430"/>
        <v>$</v>
      </c>
      <c r="D488" s="2" t="s">
        <v>1736</v>
      </c>
      <c r="F488" s="26">
        <f t="shared" ref="F488:J488" ca="1" si="486">SUMIF($D432:$D449,"*1_03*",F432:F449)</f>
        <v>0</v>
      </c>
      <c r="G488" s="26">
        <f t="shared" ca="1" si="486"/>
        <v>0</v>
      </c>
      <c r="H488" s="26">
        <f t="shared" ca="1" si="486"/>
        <v>0</v>
      </c>
      <c r="I488" s="26">
        <f t="shared" ca="1" si="486"/>
        <v>0</v>
      </c>
      <c r="J488" s="26">
        <f t="shared" ca="1" si="486"/>
        <v>0</v>
      </c>
      <c r="K488" s="26">
        <f t="shared" ref="K488" ca="1" si="487">SUMIF($D432:$D449,"*1_03*",K432:K449)</f>
        <v>0</v>
      </c>
      <c r="L488" s="26"/>
      <c r="M488" s="30"/>
    </row>
    <row r="489" spans="1:13" hidden="1" outlineLevel="2">
      <c r="A489" s="60" t="str">
        <f ca="1">OFFSET(Язык!$A$180,0,LANGUAGE)</f>
        <v xml:space="preserve">    незавершенные инвестиции</v>
      </c>
      <c r="C489" s="6" t="str">
        <f t="shared" ca="1" si="430"/>
        <v>$</v>
      </c>
      <c r="D489" s="2" t="s">
        <v>1736</v>
      </c>
      <c r="F489" s="26">
        <f t="shared" ref="F489:J489" ca="1" si="488">SUMIF($D432:$D449,"*1_04*",F432:F449)</f>
        <v>0</v>
      </c>
      <c r="G489" s="26">
        <f t="shared" ca="1" si="488"/>
        <v>0</v>
      </c>
      <c r="H489" s="26">
        <f t="shared" ca="1" si="488"/>
        <v>0</v>
      </c>
      <c r="I489" s="26">
        <f t="shared" ca="1" si="488"/>
        <v>0</v>
      </c>
      <c r="J489" s="26">
        <f t="shared" ca="1" si="488"/>
        <v>0</v>
      </c>
      <c r="K489" s="26">
        <f t="shared" ref="K489" ca="1" si="489">SUMIF($D432:$D449,"*1_04*",K432:K449)</f>
        <v>0</v>
      </c>
      <c r="L489" s="26"/>
      <c r="M489" s="30"/>
    </row>
    <row r="490" spans="1:13" hidden="1" outlineLevel="2">
      <c r="A490" s="60" t="str">
        <f ca="1">OFFSET(Язык!$A$181,0,LANGUAGE)</f>
        <v xml:space="preserve">    кредиторская задолженность</v>
      </c>
      <c r="C490" s="6" t="str">
        <f t="shared" ca="1" si="430"/>
        <v>$</v>
      </c>
      <c r="D490" s="2" t="s">
        <v>1736</v>
      </c>
      <c r="F490" s="26">
        <f t="shared" ref="F490:J490" si="490">SUMIF($D432:$D449,"*1_05*",F432:F449)</f>
        <v>0</v>
      </c>
      <c r="G490" s="26">
        <f t="shared" ca="1" si="490"/>
        <v>0</v>
      </c>
      <c r="H490" s="26">
        <f t="shared" ca="1" si="490"/>
        <v>0</v>
      </c>
      <c r="I490" s="26">
        <f t="shared" ca="1" si="490"/>
        <v>0</v>
      </c>
      <c r="J490" s="26">
        <f t="shared" ca="1" si="490"/>
        <v>0</v>
      </c>
      <c r="K490" s="26">
        <f t="shared" ref="K490" ca="1" si="491">SUMIF($D432:$D449,"*1_05*",K432:K449)</f>
        <v>0</v>
      </c>
      <c r="L490" s="26"/>
      <c r="M490" s="30"/>
    </row>
    <row r="491" spans="1:13" hidden="1" outlineLevel="2">
      <c r="A491" s="60" t="str">
        <f ca="1">OFFSET(Язык!$A$182,0,LANGUAGE)</f>
        <v xml:space="preserve">    амортизация</v>
      </c>
      <c r="C491" s="6" t="str">
        <f t="shared" ca="1" si="430"/>
        <v>$</v>
      </c>
      <c r="F491" s="26">
        <f t="shared" ref="F491:J491" si="492">(SUMIF($D432:$D449,"*1_06*",F432:F449)+SUMIF($D432:$D449,"*1_07*",F432:F449))</f>
        <v>0</v>
      </c>
      <c r="G491" s="26">
        <f t="shared" ca="1" si="492"/>
        <v>0</v>
      </c>
      <c r="H491" s="26">
        <f t="shared" ca="1" si="492"/>
        <v>0</v>
      </c>
      <c r="I491" s="26">
        <f t="shared" ca="1" si="492"/>
        <v>0</v>
      </c>
      <c r="J491" s="26">
        <f t="shared" ca="1" si="492"/>
        <v>0</v>
      </c>
      <c r="K491" s="26">
        <f t="shared" ref="K491" ca="1" si="493">(SUMIF($D432:$D449,"*1_06*",K432:K449)+SUMIF($D432:$D449,"*1_07*",K432:K449))</f>
        <v>0</v>
      </c>
      <c r="L491" s="26"/>
      <c r="M491" s="30">
        <f t="shared" ca="1" si="435"/>
        <v>0</v>
      </c>
    </row>
    <row r="492" spans="1:13" hidden="1" outlineLevel="2">
      <c r="A492" s="60" t="str">
        <f ca="1">OFFSET(Язык!$A$183,0,LANGUAGE)</f>
        <v xml:space="preserve">    остаточная стоимость</v>
      </c>
      <c r="C492" s="6" t="str">
        <f t="shared" ca="1" si="430"/>
        <v>$</v>
      </c>
      <c r="D492" s="2" t="s">
        <v>1736</v>
      </c>
      <c r="F492" s="26">
        <f t="shared" ref="F492:J492" si="494">SUMIF($D432:$D449,"*1_09*",F432:F449)</f>
        <v>0</v>
      </c>
      <c r="G492" s="26">
        <f t="shared" ca="1" si="494"/>
        <v>0</v>
      </c>
      <c r="H492" s="26">
        <f t="shared" ca="1" si="494"/>
        <v>0</v>
      </c>
      <c r="I492" s="26">
        <f t="shared" ca="1" si="494"/>
        <v>0</v>
      </c>
      <c r="J492" s="26">
        <f t="shared" ca="1" si="494"/>
        <v>0</v>
      </c>
      <c r="K492" s="26">
        <f t="shared" ref="K492" ca="1" si="495">SUMIF($D432:$D449,"*1_09*",K432:K449)</f>
        <v>0</v>
      </c>
      <c r="L492" s="26"/>
      <c r="M492" s="30"/>
    </row>
    <row r="493" spans="1:13" hidden="1" outlineLevel="2">
      <c r="A493" s="45" t="str">
        <f ca="1">OFFSET(Язык!$A$185,0,LANGUAGE)</f>
        <v xml:space="preserve">    выплаченный НДС</v>
      </c>
      <c r="C493" s="6" t="str">
        <f t="shared" ca="1" si="430"/>
        <v>$</v>
      </c>
      <c r="F493" s="26">
        <f t="shared" ref="F493:J493" si="496">SUMIF($D432:$D449,"*1_10*",F432:F449)</f>
        <v>0</v>
      </c>
      <c r="G493" s="26">
        <f t="shared" si="496"/>
        <v>0</v>
      </c>
      <c r="H493" s="26">
        <f t="shared" si="496"/>
        <v>0</v>
      </c>
      <c r="I493" s="26">
        <f t="shared" si="496"/>
        <v>0</v>
      </c>
      <c r="J493" s="26">
        <f t="shared" si="496"/>
        <v>0</v>
      </c>
      <c r="K493" s="26">
        <f t="shared" ref="K493" si="497">SUMIF($D432:$D449,"*1_10*",K432:K449)</f>
        <v>0</v>
      </c>
      <c r="L493" s="26"/>
      <c r="M493" s="30">
        <f t="shared" si="435"/>
        <v>0</v>
      </c>
    </row>
    <row r="494" spans="1:13" hidden="1" outlineLevel="2">
      <c r="A494" s="45" t="str">
        <f ca="1">OFFSET(Язык!$A$186,0,LANGUAGE)</f>
        <v xml:space="preserve">    зачет НДС</v>
      </c>
      <c r="C494" s="6" t="str">
        <f t="shared" ca="1" si="430"/>
        <v>$</v>
      </c>
      <c r="F494" s="26">
        <f t="shared" ref="F494:J494" ca="1" si="498">SUMIF($D432:$D449,"*1_11*",F432:F449)</f>
        <v>0</v>
      </c>
      <c r="G494" s="26">
        <f t="shared" ca="1" si="498"/>
        <v>0</v>
      </c>
      <c r="H494" s="26">
        <f t="shared" ca="1" si="498"/>
        <v>0</v>
      </c>
      <c r="I494" s="26">
        <f t="shared" ca="1" si="498"/>
        <v>0</v>
      </c>
      <c r="J494" s="26">
        <f t="shared" ca="1" si="498"/>
        <v>0</v>
      </c>
      <c r="K494" s="26">
        <f t="shared" ref="K494" ca="1" si="499">SUMIF($D432:$D449,"*1_11*",K432:K449)</f>
        <v>0</v>
      </c>
      <c r="L494" s="26"/>
      <c r="M494" s="30">
        <f t="shared" ca="1" si="435"/>
        <v>0</v>
      </c>
    </row>
    <row r="495" spans="1:13" outlineLevel="1">
      <c r="A495" s="32" t="str">
        <f ca="1">OFFSET(Язык!$A$192,0,LANGUAGE)</f>
        <v xml:space="preserve"> = Итого: ВСЕ ПОСТОЯННЫЕ АКТИВЫ</v>
      </c>
      <c r="C495" s="6" t="str">
        <f t="shared" ca="1" si="430"/>
        <v>$</v>
      </c>
      <c r="F495" s="26">
        <f t="shared" ref="F495:J495" si="500">F461+F473+F486</f>
        <v>0</v>
      </c>
      <c r="G495" s="26">
        <f t="shared" si="500"/>
        <v>2906000</v>
      </c>
      <c r="H495" s="26">
        <f t="shared" si="500"/>
        <v>0</v>
      </c>
      <c r="I495" s="26">
        <f t="shared" si="500"/>
        <v>0</v>
      </c>
      <c r="J495" s="26">
        <f t="shared" si="500"/>
        <v>0</v>
      </c>
      <c r="K495" s="26">
        <f t="shared" ref="K495" si="501">K461+K473+K486</f>
        <v>0</v>
      </c>
      <c r="L495" s="26"/>
      <c r="M495" s="27">
        <f t="shared" si="435"/>
        <v>2906000</v>
      </c>
    </row>
    <row r="496" spans="1:13" outlineLevel="1">
      <c r="A496" s="68"/>
      <c r="B496" s="67"/>
      <c r="C496" s="67"/>
      <c r="D496" s="68"/>
      <c r="E496" s="68"/>
      <c r="F496" s="68"/>
      <c r="G496" s="68"/>
      <c r="H496" s="68"/>
      <c r="I496" s="68"/>
      <c r="J496" s="68"/>
      <c r="K496" s="68"/>
      <c r="L496" s="68"/>
      <c r="M496" s="68"/>
    </row>
    <row r="497" spans="1:13" ht="12" outlineLevel="1" thickBot="1"/>
    <row r="498" spans="1:13" ht="15.95" customHeight="1" collapsed="1" thickTop="1" thickBot="1">
      <c r="A498" s="18"/>
      <c r="B498" s="23"/>
      <c r="C498" s="19"/>
      <c r="D498" s="18"/>
      <c r="E498" s="18"/>
      <c r="F498" s="19" t="str">
        <f t="shared" ref="F498:K498" si="502">PeriodTitle</f>
        <v>"0"</v>
      </c>
      <c r="G498" s="19">
        <f t="shared" si="502"/>
        <v>2013</v>
      </c>
      <c r="H498" s="19">
        <f t="shared" si="502"/>
        <v>2014</v>
      </c>
      <c r="I498" s="19">
        <f t="shared" si="502"/>
        <v>2015</v>
      </c>
      <c r="J498" s="19">
        <f t="shared" si="502"/>
        <v>2016</v>
      </c>
      <c r="K498" s="19">
        <f t="shared" si="502"/>
        <v>2017</v>
      </c>
      <c r="L498" s="19"/>
      <c r="M498" s="23" t="str">
        <f ca="1">OFFSET(Язык!$A$77,0,LANGUAGE)</f>
        <v>ИТОГО</v>
      </c>
    </row>
    <row r="499" spans="1:13" ht="12.75" hidden="1" outlineLevel="1" thickTop="1" thickBot="1">
      <c r="E499" s="2">
        <v>1</v>
      </c>
    </row>
    <row r="500" spans="1:13" ht="12.75" hidden="1" outlineLevel="1" thickTop="1" thickBot="1">
      <c r="A500" s="5" t="s">
        <v>2273</v>
      </c>
    </row>
    <row r="501" spans="1:13" ht="12.75" hidden="1" outlineLevel="1" thickTop="1" thickBot="1">
      <c r="A501" s="2" t="str">
        <f ca="1">OFFSET(Язык!$A$194,0,LANGUAGE)</f>
        <v xml:space="preserve">    тип лизинга</v>
      </c>
      <c r="B501" s="7">
        <v>1</v>
      </c>
      <c r="C501" s="61" t="str">
        <f ca="1">OFFSET(Язык!$A$222,B501-1,LANGUAGE)</f>
        <v>с выкупом (учет на балансе лизингодателя)</v>
      </c>
    </row>
    <row r="502" spans="1:13" ht="12.75" hidden="1" outlineLevel="1" thickTop="1" thickBot="1">
      <c r="A502" s="2" t="str">
        <f ca="1">OFFSET(Язык!$A$195,0,LANGUAGE)</f>
        <v xml:space="preserve">    № периода ввода в действие оборудования</v>
      </c>
      <c r="B502" s="7">
        <v>1</v>
      </c>
    </row>
    <row r="503" spans="1:13" ht="12.75" hidden="1" outlineLevel="1" thickTop="1" thickBot="1">
      <c r="A503" s="2" t="str">
        <f ca="1">OFFSET(Язык!$A$196,0,LANGUAGE)</f>
        <v xml:space="preserve">    срок лизинга</v>
      </c>
      <c r="B503" s="7">
        <v>4</v>
      </c>
      <c r="C503" s="6" t="str">
        <f ca="1">PRJ_Step_SName</f>
        <v>лет</v>
      </c>
    </row>
    <row r="504" spans="1:13" ht="12.75" hidden="1" outlineLevel="1" thickTop="1" thickBot="1">
      <c r="A504" s="2" t="str">
        <f ca="1">OFFSET(Язык!$A$197,0,LANGUAGE)</f>
        <v>Стоимость объекта (с НДС)</v>
      </c>
      <c r="B504" s="83">
        <v>0</v>
      </c>
      <c r="C504" s="6" t="str">
        <f ca="1">CUR_Main</f>
        <v>$</v>
      </c>
      <c r="D504" s="2" t="s">
        <v>2321</v>
      </c>
      <c r="E504" s="2">
        <f>B504/(1+B510)</f>
        <v>0</v>
      </c>
      <c r="F504" s="26">
        <f>IF(F$27&gt;=$B502-1,$E504,0)*IF(SUM($F505:F505)&gt;=$E504,0,1)*IF(AND(F$27&gt;=$B502+$B503-1,OR($B501=3,$B501=4)),0,1)</f>
        <v>0</v>
      </c>
      <c r="G504" s="26">
        <f>IF(G$27&gt;=$B502-1,$E504,0)*IF(SUM($F505:G505)&gt;=$E504,0,1)*IF(AND(G$27&gt;=$B502+$B503-1,OR($B501=3,$B501=4)),0,1)</f>
        <v>0</v>
      </c>
      <c r="H504" s="26">
        <f>IF(H$27&gt;=$B502-1,$E504,0)*IF(SUM($F505:H505)&gt;=$E504,0,1)*IF(AND(H$27&gt;=$B502+$B503-1,OR($B501=3,$B501=4)),0,1)</f>
        <v>0</v>
      </c>
      <c r="I504" s="26">
        <f>IF(I$27&gt;=$B502-1,$E504,0)*IF(SUM($F505:I505)&gt;=$E504,0,1)*IF(AND(I$27&gt;=$B502+$B503-1,OR($B501=3,$B501=4)),0,1)</f>
        <v>0</v>
      </c>
      <c r="J504" s="26">
        <f>IF(J$27&gt;=$B502-1,$E504,0)*IF(SUM($F505:J505)&gt;=$E504,0,1)*IF(AND(J$27&gt;=$B502+$B503-1,OR($B501=3,$B501=4)),0,1)</f>
        <v>0</v>
      </c>
      <c r="K504" s="26">
        <f>IF(K$27&gt;=$B502-1,$E504,0)*IF(SUM($F505:K505)&gt;=$E504,0,1)*IF(AND(K$27&gt;=$B502+$B503-1,OR($B501=3,$B501=4)),0,1)</f>
        <v>0</v>
      </c>
      <c r="L504" s="26"/>
      <c r="M504" s="26"/>
    </row>
    <row r="505" spans="1:13" ht="12.75" hidden="1" outlineLevel="1" thickTop="1" thickBot="1">
      <c r="A505" s="2" t="str">
        <f ca="1">OFFSET(Язык!$A$198,0,LANGUAGE)</f>
        <v xml:space="preserve">    амортизационные отчисления</v>
      </c>
      <c r="B505" s="50">
        <v>0.2</v>
      </c>
      <c r="D505" s="2" t="s">
        <v>2315</v>
      </c>
      <c r="F505" s="26">
        <f t="shared" ref="F505:K505" si="503">IF(F$27&gt;=$B502,MIN(E506,$E504*$B505*PRJ_Step/360),0)</f>
        <v>0</v>
      </c>
      <c r="G505" s="26">
        <f t="shared" si="503"/>
        <v>0</v>
      </c>
      <c r="H505" s="26">
        <f t="shared" si="503"/>
        <v>0</v>
      </c>
      <c r="I505" s="26">
        <f t="shared" si="503"/>
        <v>0</v>
      </c>
      <c r="J505" s="26">
        <f t="shared" si="503"/>
        <v>0</v>
      </c>
      <c r="K505" s="26">
        <f t="shared" si="503"/>
        <v>0</v>
      </c>
      <c r="L505" s="26"/>
      <c r="M505" s="30">
        <f>SUM(G505:K505)</f>
        <v>0</v>
      </c>
    </row>
    <row r="506" spans="1:13" ht="12.75" hidden="1" outlineLevel="1" thickTop="1" thickBot="1">
      <c r="A506" s="2" t="str">
        <f ca="1">OFFSET(Язык!$A$199,0,LANGUAGE)</f>
        <v xml:space="preserve">    остаточная стоимость (без НДС)</v>
      </c>
      <c r="D506" s="2" t="s">
        <v>1738</v>
      </c>
      <c r="F506" s="26">
        <f>IF(F504&gt;0,F504-SUM($F505:F505),0)</f>
        <v>0</v>
      </c>
      <c r="G506" s="26">
        <f>IF(G504&gt;0,G504-SUM($F505:G505),0)</f>
        <v>0</v>
      </c>
      <c r="H506" s="26">
        <f>IF(H504&gt;0,H504-SUM($F505:H505),0)</f>
        <v>0</v>
      </c>
      <c r="I506" s="26">
        <f>IF(I504&gt;0,I504-SUM($F505:I505),0)</f>
        <v>0</v>
      </c>
      <c r="J506" s="26">
        <f>IF(J504&gt;0,J504-SUM($F505:J505),0)</f>
        <v>0</v>
      </c>
      <c r="K506" s="26">
        <f>IF(K504&gt;0,K504-SUM($F505:K505),0)</f>
        <v>0</v>
      </c>
      <c r="L506" s="26"/>
      <c r="M506" s="26"/>
    </row>
    <row r="507" spans="1:13" ht="12.75" hidden="1" outlineLevel="1" thickTop="1" thickBot="1">
      <c r="A507" s="2" t="str">
        <f ca="1">OFFSET(Язык!$A$200,0,LANGUAGE)</f>
        <v xml:space="preserve">    вознаграждение лизингодателю</v>
      </c>
      <c r="B507" s="50">
        <v>0.15</v>
      </c>
      <c r="D507" s="2" t="s">
        <v>1851</v>
      </c>
      <c r="F507" s="26">
        <f t="shared" ref="F507:K507" si="504">IF(AND(F$27&gt;$B502-1,F$27&lt;=$B502+$B503-1),E506*$B507*PRJ_Step/360,0)</f>
        <v>0</v>
      </c>
      <c r="G507" s="26">
        <f t="shared" si="504"/>
        <v>0</v>
      </c>
      <c r="H507" s="26">
        <f t="shared" si="504"/>
        <v>0</v>
      </c>
      <c r="I507" s="26">
        <f t="shared" si="504"/>
        <v>0</v>
      </c>
      <c r="J507" s="26">
        <f t="shared" si="504"/>
        <v>0</v>
      </c>
      <c r="K507" s="26">
        <f t="shared" si="504"/>
        <v>0</v>
      </c>
      <c r="L507" s="26"/>
      <c r="M507" s="30">
        <f>SUM(G507:K507)</f>
        <v>0</v>
      </c>
    </row>
    <row r="508" spans="1:13" ht="12.75" hidden="1" outlineLevel="1" thickTop="1" thickBot="1">
      <c r="A508" s="2" t="str">
        <f ca="1">OFFSET(Язык!$A$201,0,LANGUAGE)</f>
        <v xml:space="preserve">    расчетная величина лизинговых платежей (без НДС)</v>
      </c>
      <c r="B508" s="53">
        <f ca="1">M507+SUM(F505:OFFSET($F505,0,$B502+$B503-1))</f>
        <v>0</v>
      </c>
      <c r="C508" s="6" t="str">
        <f t="shared" ref="C508:C518" ca="1" si="505">CUR_Main</f>
        <v>$</v>
      </c>
      <c r="D508" s="2" t="s">
        <v>1852</v>
      </c>
      <c r="F508" s="26">
        <f t="shared" ref="F508:J508" ca="1" si="506">$B508/MAX(1,$B503)*IF(AND(F$27+1&gt;$B502,F$27+1&lt;=$B502+$B503),1,0)</f>
        <v>0</v>
      </c>
      <c r="G508" s="26">
        <f t="shared" ca="1" si="506"/>
        <v>0</v>
      </c>
      <c r="H508" s="26">
        <f t="shared" ca="1" si="506"/>
        <v>0</v>
      </c>
      <c r="I508" s="26">
        <f t="shared" ca="1" si="506"/>
        <v>0</v>
      </c>
      <c r="J508" s="26">
        <f t="shared" ca="1" si="506"/>
        <v>0</v>
      </c>
      <c r="K508" s="26">
        <f t="shared" ref="K508" ca="1" si="507">$B508/MAX(1,$B503)*IF(AND(K$27+1&gt;$B502,K$27+1&lt;=$B502+$B503),1,0)</f>
        <v>0</v>
      </c>
      <c r="L508" s="26"/>
      <c r="M508" s="30">
        <f ca="1">SUM(G508:K508)</f>
        <v>0</v>
      </c>
    </row>
    <row r="509" spans="1:13" ht="12.75" hidden="1" outlineLevel="1" collapsed="1" thickTop="1" thickBot="1">
      <c r="A509" s="2" t="str">
        <f ca="1">OFFSET(Язык!$A$202,0,LANGUAGE)</f>
        <v>Реальная величина лизинговых платежей (с НДС)</v>
      </c>
      <c r="C509" s="6" t="str">
        <f t="shared" ca="1" si="505"/>
        <v>$</v>
      </c>
      <c r="D509" s="2" t="s">
        <v>1853</v>
      </c>
      <c r="F509" s="40">
        <f t="shared" ref="F509:J509" ca="1" si="508">F508+F510</f>
        <v>0</v>
      </c>
      <c r="G509" s="40">
        <f t="shared" ca="1" si="508"/>
        <v>0</v>
      </c>
      <c r="H509" s="40">
        <f t="shared" ca="1" si="508"/>
        <v>0</v>
      </c>
      <c r="I509" s="40">
        <f t="shared" ca="1" si="508"/>
        <v>0</v>
      </c>
      <c r="J509" s="40">
        <f t="shared" ca="1" si="508"/>
        <v>0</v>
      </c>
      <c r="K509" s="40">
        <f t="shared" ref="K509" ca="1" si="509">K508+K510</f>
        <v>0</v>
      </c>
      <c r="L509" s="26"/>
      <c r="M509" s="30">
        <f ca="1">SUM(G509:K509)</f>
        <v>0</v>
      </c>
    </row>
    <row r="510" spans="1:13" ht="12.75" hidden="1" outlineLevel="2" thickTop="1" thickBot="1">
      <c r="A510" s="2" t="str">
        <f ca="1">OFFSET(Язык!$A$203,0,LANGUAGE)</f>
        <v xml:space="preserve">    НДС к платежам</v>
      </c>
      <c r="B510" s="24">
        <f>VAT</f>
        <v>0.12</v>
      </c>
      <c r="C510" s="6" t="str">
        <f t="shared" ca="1" si="505"/>
        <v>$</v>
      </c>
      <c r="D510" s="2" t="s">
        <v>1854</v>
      </c>
      <c r="F510" s="26">
        <f t="shared" ref="F510:J510" ca="1" si="510">F508*$B510</f>
        <v>0</v>
      </c>
      <c r="G510" s="26">
        <f t="shared" ca="1" si="510"/>
        <v>0</v>
      </c>
      <c r="H510" s="26">
        <f t="shared" ca="1" si="510"/>
        <v>0</v>
      </c>
      <c r="I510" s="26">
        <f t="shared" ca="1" si="510"/>
        <v>0</v>
      </c>
      <c r="J510" s="26">
        <f t="shared" ca="1" si="510"/>
        <v>0</v>
      </c>
      <c r="K510" s="26">
        <f t="shared" ref="K510" ca="1" si="511">K508*$B510</f>
        <v>0</v>
      </c>
      <c r="L510" s="26"/>
      <c r="M510" s="30">
        <f ca="1">SUM(G510:K510)</f>
        <v>0</v>
      </c>
    </row>
    <row r="511" spans="1:13" ht="12.75" hidden="1" outlineLevel="2" thickTop="1" thickBot="1">
      <c r="A511" s="2" t="str">
        <f ca="1">OFFSET(Язык!$A$204,0,LANGUAGE)</f>
        <v xml:space="preserve">    авансы, уплаченные лизингодателю</v>
      </c>
      <c r="C511" s="6" t="str">
        <f t="shared" ca="1" si="505"/>
        <v>$</v>
      </c>
      <c r="D511" s="2" t="s">
        <v>1741</v>
      </c>
      <c r="F511" s="26">
        <f ca="1">SUM($F509:F509)-SUM($F508:F508)-SUM($F510:F510)</f>
        <v>0</v>
      </c>
      <c r="G511" s="26">
        <f ca="1">SUM($F509:G509)-SUM($F508:G508)-SUM($F510:G510)</f>
        <v>0</v>
      </c>
      <c r="H511" s="26">
        <f ca="1">SUM($F509:H509)-SUM($F508:H508)-SUM($F510:H510)</f>
        <v>0</v>
      </c>
      <c r="I511" s="26">
        <f ca="1">SUM($F509:I509)-SUM($F508:I508)-SUM($F510:I510)</f>
        <v>0</v>
      </c>
      <c r="J511" s="26">
        <f ca="1">SUM($F509:J509)-SUM($F508:J508)-SUM($F510:J510)</f>
        <v>0</v>
      </c>
      <c r="K511" s="26">
        <f ca="1">SUM($F509:K509)-SUM($F508:K508)-SUM($F510:K510)</f>
        <v>0</v>
      </c>
      <c r="L511" s="26"/>
      <c r="M511" s="26"/>
    </row>
    <row r="512" spans="1:13" ht="12.75" hidden="1" outlineLevel="2" thickTop="1" thickBot="1">
      <c r="A512" s="2" t="str">
        <f ca="1">OFFSET(Язык!$A$205,0,LANGUAGE)</f>
        <v xml:space="preserve">    арендованные основные средства (ост. стоимость)</v>
      </c>
      <c r="C512" s="6" t="str">
        <f t="shared" ca="1" si="505"/>
        <v>$</v>
      </c>
      <c r="D512" s="2" t="s">
        <v>1742</v>
      </c>
      <c r="F512" s="26">
        <f t="shared" ref="F512:J512" si="512">IF(AND(F$27&gt;=$B502-1,F$27&lt;$B502+$B503-1),F506,0)</f>
        <v>0</v>
      </c>
      <c r="G512" s="26">
        <f t="shared" si="512"/>
        <v>0</v>
      </c>
      <c r="H512" s="26">
        <f t="shared" si="512"/>
        <v>0</v>
      </c>
      <c r="I512" s="26">
        <f t="shared" si="512"/>
        <v>0</v>
      </c>
      <c r="J512" s="26">
        <f t="shared" si="512"/>
        <v>0</v>
      </c>
      <c r="K512" s="26">
        <f t="shared" ref="K512" si="513">IF(AND(K$27&gt;=$B502-1,K$27&lt;$B502+$B503-1),K506,0)</f>
        <v>0</v>
      </c>
      <c r="L512" s="26"/>
      <c r="M512" s="26"/>
    </row>
    <row r="513" spans="1:13" ht="12.75" hidden="1" outlineLevel="2" thickTop="1" thickBot="1">
      <c r="A513" s="2" t="str">
        <f ca="1">OFFSET(Язык!$A$206,0,LANGUAGE)</f>
        <v xml:space="preserve">    налогооблагаемое имущество</v>
      </c>
      <c r="C513" s="6" t="str">
        <f t="shared" ca="1" si="505"/>
        <v>$</v>
      </c>
      <c r="D513" s="2" t="s">
        <v>1743</v>
      </c>
      <c r="F513" s="26">
        <f t="shared" ref="F513:K513" si="514">IF(F$27&gt;=$B502,CHOOSE($B501,IF(F$27&gt;$B502+$B503-1,(E516+F516)/2,0),SUM(E512,F512,E516,F516)/2,0,IF(F$27=$B502+$B503,(E512+E512-F516)/2,(E512+F512)/2)),0)</f>
        <v>0</v>
      </c>
      <c r="G513" s="26">
        <f t="shared" si="514"/>
        <v>0</v>
      </c>
      <c r="H513" s="26">
        <f t="shared" si="514"/>
        <v>0</v>
      </c>
      <c r="I513" s="26">
        <f t="shared" si="514"/>
        <v>0</v>
      </c>
      <c r="J513" s="26">
        <f t="shared" si="514"/>
        <v>0</v>
      </c>
      <c r="K513" s="26">
        <f t="shared" si="514"/>
        <v>0</v>
      </c>
      <c r="L513" s="26"/>
      <c r="M513" s="26"/>
    </row>
    <row r="514" spans="1:13" ht="12.75" hidden="1" outlineLevel="2" thickTop="1" thickBot="1">
      <c r="A514" s="2" t="str">
        <f ca="1">OFFSET(Язык!$A$207,0,LANGUAGE)</f>
        <v>Выкуп основных средств по остаточной стоимости</v>
      </c>
      <c r="C514" s="6" t="str">
        <f t="shared" ca="1" si="505"/>
        <v>$</v>
      </c>
      <c r="D514" s="2" t="s">
        <v>1856</v>
      </c>
      <c r="F514" s="26">
        <f t="shared" ref="F514:J514" si="515">IF(AND(F$27=$B502+$B503-1,OR($B501=1,$B501=2)),F506,0)</f>
        <v>0</v>
      </c>
      <c r="G514" s="26">
        <f t="shared" si="515"/>
        <v>0</v>
      </c>
      <c r="H514" s="26">
        <f t="shared" si="515"/>
        <v>0</v>
      </c>
      <c r="I514" s="26">
        <f t="shared" si="515"/>
        <v>0</v>
      </c>
      <c r="J514" s="26">
        <f t="shared" si="515"/>
        <v>0</v>
      </c>
      <c r="K514" s="26">
        <f t="shared" ref="K514" si="516">IF(AND(K$27=$B502+$B503-1,OR($B501=1,$B501=2)),K506,0)</f>
        <v>0</v>
      </c>
      <c r="L514" s="26"/>
      <c r="M514" s="30">
        <f>SUM(G514:K514)</f>
        <v>0</v>
      </c>
    </row>
    <row r="515" spans="1:13" ht="12.75" hidden="1" outlineLevel="2" thickTop="1" thickBot="1">
      <c r="A515" s="2" t="str">
        <f ca="1">OFFSET(Язык!$A$208,0,LANGUAGE)</f>
        <v xml:space="preserve">    балансовая стоимость после выкупа</v>
      </c>
      <c r="C515" s="6" t="str">
        <f t="shared" ca="1" si="505"/>
        <v>$</v>
      </c>
      <c r="D515" s="2" t="s">
        <v>1744</v>
      </c>
      <c r="F515" s="26">
        <f>IF(SUM($F514:F514)&gt;0,F504,0)</f>
        <v>0</v>
      </c>
      <c r="G515" s="26">
        <f>IF(SUM($F514:G514)&gt;0,G504,0)</f>
        <v>0</v>
      </c>
      <c r="H515" s="26">
        <f>IF(SUM($F514:H514)&gt;0,H504,0)</f>
        <v>0</v>
      </c>
      <c r="I515" s="26">
        <f>IF(SUM($F514:I514)&gt;0,I504,0)</f>
        <v>0</v>
      </c>
      <c r="J515" s="26">
        <f>IF(SUM($F514:J514)&gt;0,J504,0)</f>
        <v>0</v>
      </c>
      <c r="K515" s="26">
        <f>IF(SUM($F514:K514)&gt;0,K504,0)</f>
        <v>0</v>
      </c>
      <c r="L515" s="26"/>
      <c r="M515" s="26"/>
    </row>
    <row r="516" spans="1:13" ht="12.75" hidden="1" outlineLevel="2" thickTop="1" thickBot="1">
      <c r="A516" s="2" t="str">
        <f ca="1">OFFSET(Язык!$A$209,0,LANGUAGE)</f>
        <v xml:space="preserve">    остаточная стоимость после выкупа</v>
      </c>
      <c r="C516" s="6" t="str">
        <f t="shared" ca="1" si="505"/>
        <v>$</v>
      </c>
      <c r="D516" s="2" t="s">
        <v>1745</v>
      </c>
      <c r="F516" s="26">
        <f>IF(SUM($F514:F514)&gt;0,F506,0)</f>
        <v>0</v>
      </c>
      <c r="G516" s="26">
        <f>IF(SUM($F514:G514)&gt;0,G506,0)</f>
        <v>0</v>
      </c>
      <c r="H516" s="26">
        <f>IF(SUM($F514:H514)&gt;0,H506,0)</f>
        <v>0</v>
      </c>
      <c r="I516" s="26">
        <f>IF(SUM($F514:I514)&gt;0,I506,0)</f>
        <v>0</v>
      </c>
      <c r="J516" s="26">
        <f>IF(SUM($F514:J514)&gt;0,J506,0)</f>
        <v>0</v>
      </c>
      <c r="K516" s="26">
        <f>IF(SUM($F514:K514)&gt;0,K506,0)</f>
        <v>0</v>
      </c>
      <c r="L516" s="26"/>
      <c r="M516" s="26"/>
    </row>
    <row r="517" spans="1:13" ht="12.75" hidden="1" outlineLevel="2" thickTop="1" thickBot="1">
      <c r="A517" s="2" t="str">
        <f ca="1">OFFSET(Язык!$A$210,0,LANGUAGE)</f>
        <v xml:space="preserve">    амортизация средств у лизингополучателя после выкупа</v>
      </c>
      <c r="C517" s="6" t="str">
        <f t="shared" ca="1" si="505"/>
        <v>$</v>
      </c>
      <c r="D517" s="2" t="s">
        <v>1859</v>
      </c>
      <c r="F517" s="26">
        <v>0</v>
      </c>
      <c r="G517" s="26">
        <f>IF(SUM($F514:F514)&gt;0,G505,0)</f>
        <v>0</v>
      </c>
      <c r="H517" s="26">
        <f>IF(SUM($F514:G514)&gt;0,H505,0)</f>
        <v>0</v>
      </c>
      <c r="I517" s="26">
        <f>IF(SUM($F514:H514)&gt;0,I505,0)</f>
        <v>0</v>
      </c>
      <c r="J517" s="26">
        <f>IF(SUM($F514:I514)&gt;0,J505,0)</f>
        <v>0</v>
      </c>
      <c r="K517" s="26">
        <f>IF(SUM($F514:J514)&gt;0,K505,0)</f>
        <v>0</v>
      </c>
      <c r="L517" s="26"/>
      <c r="M517" s="30">
        <f>SUM(G517:K517)</f>
        <v>0</v>
      </c>
    </row>
    <row r="518" spans="1:13" ht="12.75" hidden="1" outlineLevel="2" thickTop="1" thickBot="1">
      <c r="A518" s="2" t="str">
        <f ca="1">OFFSET(Язык!$A$211,0,LANGUAGE)</f>
        <v xml:space="preserve">    НДС уплаченный при выкупе </v>
      </c>
      <c r="B518" s="24">
        <f>VAT</f>
        <v>0.12</v>
      </c>
      <c r="C518" s="6" t="str">
        <f t="shared" ca="1" si="505"/>
        <v>$</v>
      </c>
      <c r="D518" s="2" t="s">
        <v>1860</v>
      </c>
      <c r="F518" s="26">
        <f t="shared" ref="F518:J518" si="517">F514*$B518</f>
        <v>0</v>
      </c>
      <c r="G518" s="26">
        <f t="shared" si="517"/>
        <v>0</v>
      </c>
      <c r="H518" s="26">
        <f t="shared" si="517"/>
        <v>0</v>
      </c>
      <c r="I518" s="26">
        <f t="shared" si="517"/>
        <v>0</v>
      </c>
      <c r="J518" s="26">
        <f t="shared" si="517"/>
        <v>0</v>
      </c>
      <c r="K518" s="26">
        <f t="shared" ref="K518" si="518">K514*$B518</f>
        <v>0</v>
      </c>
      <c r="L518" s="26"/>
      <c r="M518" s="30">
        <f>SUM(G518:K518)</f>
        <v>0</v>
      </c>
    </row>
    <row r="519" spans="1:13" ht="12.75" hidden="1" outlineLevel="1" thickTop="1" thickBot="1"/>
    <row r="520" spans="1:13" ht="12.75" hidden="1" outlineLevel="1" thickTop="1" thickBot="1">
      <c r="A520" s="32" t="str">
        <f ca="1">OFFSET(Язык!$A$212,0,LANGUAGE)</f>
        <v xml:space="preserve"> = Итого лизинговые платежи, начисленные, без НДС</v>
      </c>
      <c r="C520" s="6" t="str">
        <f t="shared" ref="C520:C529" ca="1" si="519">CUR_Main</f>
        <v>$</v>
      </c>
      <c r="F520" s="62">
        <f t="shared" ref="F520:J520" ca="1" si="520">SUMIF($D499:$D519,"*1_05*",F499:F519)</f>
        <v>0</v>
      </c>
      <c r="G520" s="62">
        <f t="shared" ca="1" si="520"/>
        <v>0</v>
      </c>
      <c r="H520" s="62">
        <f t="shared" ca="1" si="520"/>
        <v>0</v>
      </c>
      <c r="I520" s="62">
        <f t="shared" ca="1" si="520"/>
        <v>0</v>
      </c>
      <c r="J520" s="62">
        <f t="shared" ca="1" si="520"/>
        <v>0</v>
      </c>
      <c r="K520" s="62">
        <f t="shared" ref="K520" ca="1" si="521">SUMIF($D499:$D519,"*1_05*",K499:K519)</f>
        <v>0</v>
      </c>
      <c r="L520" s="62"/>
      <c r="M520" s="27">
        <f ca="1">SUM(G520:K520)</f>
        <v>0</v>
      </c>
    </row>
    <row r="521" spans="1:13" ht="12.75" hidden="1" outlineLevel="1" thickTop="1" thickBot="1">
      <c r="A521" s="32" t="str">
        <f ca="1">OFFSET(Язык!$A$213,0,LANGUAGE)</f>
        <v xml:space="preserve"> = Итого лизинговые платежи, уплаченные, с НДС</v>
      </c>
      <c r="C521" s="6" t="str">
        <f t="shared" ca="1" si="519"/>
        <v>$</v>
      </c>
      <c r="F521" s="62">
        <f t="shared" ref="F521:J521" ca="1" si="522">SUMIF($D499:$D519,"*1_06*",F499:F519)</f>
        <v>0</v>
      </c>
      <c r="G521" s="62">
        <f t="shared" ca="1" si="522"/>
        <v>0</v>
      </c>
      <c r="H521" s="62">
        <f t="shared" ca="1" si="522"/>
        <v>0</v>
      </c>
      <c r="I521" s="62">
        <f t="shared" ca="1" si="522"/>
        <v>0</v>
      </c>
      <c r="J521" s="62">
        <f t="shared" ca="1" si="522"/>
        <v>0</v>
      </c>
      <c r="K521" s="62">
        <f t="shared" ref="K521" ca="1" si="523">SUMIF($D499:$D519,"*1_06*",K499:K519)</f>
        <v>0</v>
      </c>
      <c r="L521" s="62"/>
      <c r="M521" s="27">
        <f ca="1">SUM(G521:K521)</f>
        <v>0</v>
      </c>
    </row>
    <row r="522" spans="1:13" ht="12.75" hidden="1" outlineLevel="1" collapsed="1" thickTop="1" thickBot="1">
      <c r="A522" s="32" t="str">
        <f ca="1">OFFSET(Язык!$A$214,0,LANGUAGE)</f>
        <v xml:space="preserve"> = Итого выкуп основных средств, с НДС</v>
      </c>
      <c r="C522" s="6" t="str">
        <f t="shared" ca="1" si="519"/>
        <v>$</v>
      </c>
      <c r="F522" s="62">
        <f t="shared" ref="F522:J522" si="524">SUMIF($D499:$D519,"*1_11*",F499:F519)+SUMIF($D499:$D519,"*1_15*",F499:F519)</f>
        <v>0</v>
      </c>
      <c r="G522" s="62">
        <f t="shared" si="524"/>
        <v>0</v>
      </c>
      <c r="H522" s="62">
        <f t="shared" si="524"/>
        <v>0</v>
      </c>
      <c r="I522" s="62">
        <f t="shared" si="524"/>
        <v>0</v>
      </c>
      <c r="J522" s="62">
        <f t="shared" si="524"/>
        <v>0</v>
      </c>
      <c r="K522" s="62">
        <f t="shared" ref="K522" si="525">SUMIF($D499:$D519,"*1_11*",K499:K519)+SUMIF($D499:$D519,"*1_15*",K499:K519)</f>
        <v>0</v>
      </c>
      <c r="L522" s="62"/>
      <c r="M522" s="27">
        <f>SUM(G522:K522)</f>
        <v>0</v>
      </c>
    </row>
    <row r="523" spans="1:13" ht="12.75" hidden="1" outlineLevel="2" thickTop="1" thickBot="1">
      <c r="A523" s="2" t="str">
        <f ca="1">OFFSET(Язык!$A$215,0,LANGUAGE)</f>
        <v xml:space="preserve">    НДС к лизинговым платежам и выкупу</v>
      </c>
      <c r="C523" s="6" t="str">
        <f t="shared" ca="1" si="519"/>
        <v>$</v>
      </c>
      <c r="F523" s="72">
        <f t="shared" ref="F523:J523" ca="1" si="526">SUMIF($D499:$D519,"*1_07*",F499:F519)+SUMIF($D499:$D519,"*1_15*",F499:F519)</f>
        <v>0</v>
      </c>
      <c r="G523" s="72">
        <f t="shared" ca="1" si="526"/>
        <v>0</v>
      </c>
      <c r="H523" s="72">
        <f t="shared" ca="1" si="526"/>
        <v>0</v>
      </c>
      <c r="I523" s="72">
        <f t="shared" ca="1" si="526"/>
        <v>0</v>
      </c>
      <c r="J523" s="72">
        <f t="shared" ca="1" si="526"/>
        <v>0</v>
      </c>
      <c r="K523" s="72">
        <f t="shared" ref="K523" ca="1" si="527">SUMIF($D499:$D519,"*1_07*",K499:K519)+SUMIF($D499:$D519,"*1_15*",K499:K519)</f>
        <v>0</v>
      </c>
      <c r="L523" s="72"/>
      <c r="M523" s="30">
        <f ca="1">SUM(G523:K523)</f>
        <v>0</v>
      </c>
    </row>
    <row r="524" spans="1:13" ht="12.75" hidden="1" outlineLevel="2" thickTop="1" thickBot="1">
      <c r="A524" s="2" t="str">
        <f ca="1">OFFSET(Язык!$A$216,0,LANGUAGE)</f>
        <v xml:space="preserve">    авансы, уплаченные лизингодателю</v>
      </c>
      <c r="C524" s="6" t="str">
        <f t="shared" ca="1" si="519"/>
        <v>$</v>
      </c>
      <c r="D524" s="2" t="s">
        <v>1736</v>
      </c>
      <c r="F524" s="26">
        <f t="shared" ref="F524:J524" ca="1" si="528">SUMIF($D499:$D519,"*1_08*",F499:F519)</f>
        <v>0</v>
      </c>
      <c r="G524" s="26">
        <f t="shared" ca="1" si="528"/>
        <v>0</v>
      </c>
      <c r="H524" s="26">
        <f t="shared" ca="1" si="528"/>
        <v>0</v>
      </c>
      <c r="I524" s="26">
        <f t="shared" ca="1" si="528"/>
        <v>0</v>
      </c>
      <c r="J524" s="26">
        <f t="shared" ca="1" si="528"/>
        <v>0</v>
      </c>
      <c r="K524" s="26">
        <f t="shared" ref="K524" ca="1" si="529">SUMIF($D499:$D519,"*1_08*",K499:K519)</f>
        <v>0</v>
      </c>
      <c r="L524" s="26"/>
      <c r="M524" s="26"/>
    </row>
    <row r="525" spans="1:13" ht="12.75" hidden="1" outlineLevel="2" thickTop="1" thickBot="1">
      <c r="A525" s="2" t="str">
        <f ca="1">OFFSET(Язык!$A$217,0,LANGUAGE)</f>
        <v xml:space="preserve">    арендованные основные средства </v>
      </c>
      <c r="C525" s="6" t="str">
        <f t="shared" ca="1" si="519"/>
        <v>$</v>
      </c>
      <c r="D525" s="2" t="s">
        <v>1736</v>
      </c>
      <c r="F525" s="26">
        <f t="shared" ref="F525:J525" si="530">SUMIF($D499:$D519,"*1_09*",F499:F519)</f>
        <v>0</v>
      </c>
      <c r="G525" s="26">
        <f t="shared" si="530"/>
        <v>0</v>
      </c>
      <c r="H525" s="26">
        <f t="shared" si="530"/>
        <v>0</v>
      </c>
      <c r="I525" s="26">
        <f t="shared" si="530"/>
        <v>0</v>
      </c>
      <c r="J525" s="26">
        <f t="shared" si="530"/>
        <v>0</v>
      </c>
      <c r="K525" s="26">
        <f t="shared" ref="K525" si="531">SUMIF($D499:$D519,"*1_09*",K499:K519)</f>
        <v>0</v>
      </c>
      <c r="L525" s="26"/>
      <c r="M525" s="26"/>
    </row>
    <row r="526" spans="1:13" ht="12.75" hidden="1" outlineLevel="2" thickTop="1" thickBot="1">
      <c r="A526" s="2" t="str">
        <f ca="1">OFFSET(Язык!$A$218,0,LANGUAGE)</f>
        <v xml:space="preserve">    налогооблагаемое имущество</v>
      </c>
      <c r="C526" s="6" t="str">
        <f t="shared" ca="1" si="519"/>
        <v>$</v>
      </c>
      <c r="D526" s="2" t="s">
        <v>1736</v>
      </c>
      <c r="F526" s="26">
        <f t="shared" ref="F526:J526" si="532">SUMIF($D499:$D519,"*1_10*",F499:F519)</f>
        <v>0</v>
      </c>
      <c r="G526" s="26">
        <f t="shared" si="532"/>
        <v>0</v>
      </c>
      <c r="H526" s="26">
        <f t="shared" si="532"/>
        <v>0</v>
      </c>
      <c r="I526" s="26">
        <f t="shared" si="532"/>
        <v>0</v>
      </c>
      <c r="J526" s="26">
        <f t="shared" si="532"/>
        <v>0</v>
      </c>
      <c r="K526" s="26">
        <f t="shared" ref="K526" si="533">SUMIF($D499:$D519,"*1_10*",K499:K519)</f>
        <v>0</v>
      </c>
      <c r="L526" s="26"/>
      <c r="M526" s="26"/>
    </row>
    <row r="527" spans="1:13" ht="12.75" hidden="1" outlineLevel="2" thickTop="1" thickBot="1">
      <c r="A527" s="2" t="str">
        <f ca="1">OFFSET(Язык!$A$219,0,LANGUAGE)</f>
        <v xml:space="preserve">    балансовая стоимость после выкупа</v>
      </c>
      <c r="C527" s="6" t="str">
        <f t="shared" ca="1" si="519"/>
        <v>$</v>
      </c>
      <c r="D527" s="2" t="s">
        <v>1736</v>
      </c>
      <c r="F527" s="26">
        <f t="shared" ref="F527:J527" si="534">SUMIF($D499:$D519,"*1_12*",F499:F519)</f>
        <v>0</v>
      </c>
      <c r="G527" s="26">
        <f t="shared" si="534"/>
        <v>0</v>
      </c>
      <c r="H527" s="26">
        <f t="shared" si="534"/>
        <v>0</v>
      </c>
      <c r="I527" s="26">
        <f t="shared" si="534"/>
        <v>0</v>
      </c>
      <c r="J527" s="26">
        <f t="shared" si="534"/>
        <v>0</v>
      </c>
      <c r="K527" s="26">
        <f t="shared" ref="K527" si="535">SUMIF($D499:$D519,"*1_12*",K499:K519)</f>
        <v>0</v>
      </c>
      <c r="L527" s="26"/>
      <c r="M527" s="26"/>
    </row>
    <row r="528" spans="1:13" ht="12.75" hidden="1" outlineLevel="2" thickTop="1" thickBot="1">
      <c r="A528" s="2" t="str">
        <f ca="1">OFFSET(Язык!$A$220,0,LANGUAGE)</f>
        <v xml:space="preserve">    остаточная стоимость после выкупа</v>
      </c>
      <c r="C528" s="6" t="str">
        <f t="shared" ca="1" si="519"/>
        <v>$</v>
      </c>
      <c r="D528" s="2" t="s">
        <v>1736</v>
      </c>
      <c r="F528" s="26">
        <f t="shared" ref="F528:J528" si="536">SUMIF($D499:$D519,"*1_13*",F499:F519)</f>
        <v>0</v>
      </c>
      <c r="G528" s="26">
        <f t="shared" si="536"/>
        <v>0</v>
      </c>
      <c r="H528" s="26">
        <f t="shared" si="536"/>
        <v>0</v>
      </c>
      <c r="I528" s="26">
        <f t="shared" si="536"/>
        <v>0</v>
      </c>
      <c r="J528" s="26">
        <f t="shared" si="536"/>
        <v>0</v>
      </c>
      <c r="K528" s="26">
        <f t="shared" ref="K528" si="537">SUMIF($D499:$D519,"*1_13*",K499:K519)</f>
        <v>0</v>
      </c>
      <c r="L528" s="26"/>
      <c r="M528" s="26"/>
    </row>
    <row r="529" spans="1:13" ht="12.75" hidden="1" outlineLevel="2" thickTop="1" thickBot="1">
      <c r="A529" s="2" t="str">
        <f ca="1">OFFSET(Язык!$A$221,0,LANGUAGE)</f>
        <v xml:space="preserve">    амортизация средств у лизингополучателя после выкупа</v>
      </c>
      <c r="C529" s="6" t="str">
        <f t="shared" ca="1" si="519"/>
        <v>$</v>
      </c>
      <c r="F529" s="26">
        <f t="shared" ref="F529:J529" si="538">SUMIF($D499:$D519,"*1_14*",F499:F519)</f>
        <v>0</v>
      </c>
      <c r="G529" s="26">
        <f t="shared" si="538"/>
        <v>0</v>
      </c>
      <c r="H529" s="26">
        <f t="shared" si="538"/>
        <v>0</v>
      </c>
      <c r="I529" s="26">
        <f t="shared" si="538"/>
        <v>0</v>
      </c>
      <c r="J529" s="26">
        <f t="shared" si="538"/>
        <v>0</v>
      </c>
      <c r="K529" s="26">
        <f t="shared" ref="K529" si="539">SUMIF($D499:$D519,"*1_14*",K499:K519)</f>
        <v>0</v>
      </c>
      <c r="L529" s="26"/>
      <c r="M529" s="30">
        <f>SUM(G529:K529)</f>
        <v>0</v>
      </c>
    </row>
    <row r="530" spans="1:13" ht="12.75" hidden="1" outlineLevel="1" thickTop="1" thickBot="1">
      <c r="A530" s="68"/>
      <c r="B530" s="67"/>
      <c r="C530" s="67"/>
      <c r="D530" s="68"/>
      <c r="E530" s="68"/>
      <c r="F530" s="68"/>
      <c r="G530" s="68"/>
      <c r="H530" s="68"/>
      <c r="I530" s="68"/>
      <c r="J530" s="68"/>
      <c r="K530" s="68"/>
      <c r="L530" s="68"/>
      <c r="M530" s="68"/>
    </row>
    <row r="531" spans="1:13" ht="12.75" hidden="1" outlineLevel="1" thickTop="1" thickBot="1"/>
    <row r="532" spans="1:13" ht="15.95" customHeight="1" collapsed="1" thickTop="1" thickBot="1">
      <c r="A532" s="18"/>
      <c r="B532" s="23"/>
      <c r="C532" s="19"/>
      <c r="D532" s="18"/>
      <c r="E532" s="18"/>
      <c r="F532" s="19" t="str">
        <f t="shared" ref="F532:K532" si="540">PeriodTitle</f>
        <v>"0"</v>
      </c>
      <c r="G532" s="19">
        <f t="shared" si="540"/>
        <v>2013</v>
      </c>
      <c r="H532" s="19">
        <f t="shared" si="540"/>
        <v>2014</v>
      </c>
      <c r="I532" s="19">
        <f t="shared" si="540"/>
        <v>2015</v>
      </c>
      <c r="J532" s="19">
        <f t="shared" si="540"/>
        <v>2016</v>
      </c>
      <c r="K532" s="19">
        <f t="shared" si="540"/>
        <v>2017</v>
      </c>
      <c r="L532" s="19"/>
      <c r="M532" s="23" t="str">
        <f ca="1">OFFSET(Язык!$A$77,0,LANGUAGE)</f>
        <v>ИТОГО</v>
      </c>
    </row>
    <row r="533" spans="1:13" ht="12.75" hidden="1" outlineLevel="1" thickTop="1" thickBot="1"/>
    <row r="534" spans="1:13" ht="12.75" hidden="1" outlineLevel="1" thickTop="1" thickBot="1">
      <c r="A534" s="2" t="str">
        <f ca="1">OFFSET(Язык!$A$226,0,LANGUAGE)</f>
        <v>ЗАПАСЫ</v>
      </c>
    </row>
    <row r="535" spans="1:13" ht="12.75" hidden="1" outlineLevel="1" thickTop="1" thickBot="1">
      <c r="A535" s="2" t="str">
        <f ca="1">OFFSET(Язык!$A$227,0,LANGUAGE)</f>
        <v>Запасы сырья и материалов</v>
      </c>
      <c r="C535" s="6" t="str">
        <f ca="1">CUR_Main</f>
        <v>$</v>
      </c>
      <c r="D535" s="2" t="s">
        <v>1736</v>
      </c>
      <c r="F535" s="26"/>
      <c r="G535" s="26">
        <f t="shared" ref="G535:J535" si="541">G263</f>
        <v>0</v>
      </c>
      <c r="H535" s="26">
        <f t="shared" si="541"/>
        <v>0</v>
      </c>
      <c r="I535" s="26">
        <f t="shared" si="541"/>
        <v>0</v>
      </c>
      <c r="J535" s="26">
        <f t="shared" si="541"/>
        <v>0</v>
      </c>
      <c r="K535" s="26">
        <f t="shared" ref="K535" si="542">K263</f>
        <v>0</v>
      </c>
    </row>
    <row r="536" spans="1:13" ht="12.75" hidden="1" outlineLevel="1" thickTop="1" thickBot="1">
      <c r="A536" s="2" t="str">
        <f ca="1">OFFSET(Язык!$A$228,0,LANGUAGE)</f>
        <v xml:space="preserve">    периодичность закупки</v>
      </c>
      <c r="B536" s="7">
        <v>0</v>
      </c>
      <c r="C536" s="6" t="str">
        <f ca="1">OFFSET(Язык!$A$23,0,LANGUAGE)</f>
        <v>дн.</v>
      </c>
    </row>
    <row r="537" spans="1:13" ht="12.75" hidden="1" outlineLevel="1" thickTop="1" thickBot="1">
      <c r="A537" s="2" t="str">
        <f ca="1">OFFSET(Язык!$A$229,0,LANGUAGE)</f>
        <v xml:space="preserve">    минимальные остатки на складе, на</v>
      </c>
      <c r="B537" s="7">
        <v>0</v>
      </c>
      <c r="C537" s="6" t="str">
        <f ca="1">OFFSET(Язык!$A$23,0,LANGUAGE)</f>
        <v>дн.</v>
      </c>
    </row>
    <row r="538" spans="1:13" ht="12.75" hidden="1" outlineLevel="1" thickTop="1" thickBot="1">
      <c r="A538" s="2" t="str">
        <f ca="1">OFFSET(Язык!$A$230,0,LANGUAGE)</f>
        <v xml:space="preserve">    среднее время хранения</v>
      </c>
      <c r="B538" s="39">
        <f>B536/2+B537</f>
        <v>0</v>
      </c>
      <c r="C538" s="6" t="str">
        <f ca="1">OFFSET(Язык!$A$23,0,LANGUAGE)</f>
        <v>дн.</v>
      </c>
    </row>
    <row r="539" spans="1:13" ht="12.75" hidden="1" outlineLevel="1" thickTop="1" thickBot="1">
      <c r="A539" s="2" t="str">
        <f ca="1">OFFSET(Язык!$A$231,0,LANGUAGE)</f>
        <v>Незавершенное производство</v>
      </c>
      <c r="C539" s="6" t="str">
        <f ca="1">CUR_Main</f>
        <v>$</v>
      </c>
      <c r="D539" s="2" t="s">
        <v>1736</v>
      </c>
      <c r="F539" s="26"/>
      <c r="G539" s="26">
        <f t="shared" ref="G539:J539" ca="1" si="543">G261+IF(G172&gt;0,(G327+G328+G335+G336+G375)*MIN($B540/PRJ_Step,1),0)</f>
        <v>0</v>
      </c>
      <c r="H539" s="26">
        <f t="shared" ca="1" si="543"/>
        <v>0</v>
      </c>
      <c r="I539" s="26">
        <f t="shared" ca="1" si="543"/>
        <v>0</v>
      </c>
      <c r="J539" s="26">
        <f t="shared" ca="1" si="543"/>
        <v>0</v>
      </c>
      <c r="K539" s="26">
        <f t="shared" ref="K539" ca="1" si="544">K261+IF(K172&gt;0,(K327+K328+K335+K336+K375)*MIN($B540/PRJ_Step,1),0)</f>
        <v>0</v>
      </c>
    </row>
    <row r="540" spans="1:13" ht="12.75" hidden="1" outlineLevel="1" thickTop="1" thickBot="1">
      <c r="A540" s="2" t="str">
        <f ca="1">OFFSET(Язык!$A$232,0,LANGUAGE)</f>
        <v xml:space="preserve">    длительность производственного цикла</v>
      </c>
      <c r="B540" s="7">
        <v>0</v>
      </c>
      <c r="C540" s="6" t="str">
        <f ca="1">OFFSET(Язык!$A$23,0,LANGUAGE)</f>
        <v>дн.</v>
      </c>
    </row>
    <row r="541" spans="1:13" ht="12.75" hidden="1" outlineLevel="1" thickTop="1" thickBot="1">
      <c r="A541" s="2" t="str">
        <f ca="1">OFFSET(Язык!$A$233,0,LANGUAGE)</f>
        <v>Запасы готовой продукции</v>
      </c>
      <c r="C541" s="6" t="str">
        <f ca="1">CUR_Main</f>
        <v>$</v>
      </c>
      <c r="D541" s="2" t="s">
        <v>1736</v>
      </c>
      <c r="F541" s="26"/>
      <c r="G541" s="26">
        <f t="shared" ref="G541:J541" ca="1" si="545">G260+G257+IF(G172&gt;0,(G327+G328+G335+G336+G375+G378)*$B544/PRJ_Step,0)</f>
        <v>0</v>
      </c>
      <c r="H541" s="26">
        <f t="shared" ca="1" si="545"/>
        <v>0</v>
      </c>
      <c r="I541" s="26">
        <f t="shared" ca="1" si="545"/>
        <v>0</v>
      </c>
      <c r="J541" s="26">
        <f t="shared" ca="1" si="545"/>
        <v>0</v>
      </c>
      <c r="K541" s="26">
        <f t="shared" ref="K541" ca="1" si="546">K260+K257+IF(K172&gt;0,(K327+K328+K335+K336+K375+K378)*$B544/PRJ_Step,0)</f>
        <v>0</v>
      </c>
    </row>
    <row r="542" spans="1:13" ht="12.75" hidden="1" outlineLevel="1" thickTop="1" thickBot="1">
      <c r="A542" s="2" t="str">
        <f ca="1">OFFSET(Язык!$A$234,0,LANGUAGE)</f>
        <v xml:space="preserve">    периодичность отгрузки</v>
      </c>
      <c r="B542" s="7">
        <v>0</v>
      </c>
      <c r="C542" s="6" t="str">
        <f ca="1">OFFSET(Язык!$A$23,0,LANGUAGE)</f>
        <v>дн.</v>
      </c>
    </row>
    <row r="543" spans="1:13" ht="12.75" hidden="1" outlineLevel="1" thickTop="1" thickBot="1">
      <c r="A543" s="2" t="str">
        <f ca="1">OFFSET(Язык!$A$235,0,LANGUAGE)</f>
        <v xml:space="preserve">    минимальные остатки на складе, на</v>
      </c>
      <c r="B543" s="7">
        <v>0</v>
      </c>
      <c r="C543" s="6" t="str">
        <f ca="1">OFFSET(Язык!$A$23,0,LANGUAGE)</f>
        <v>дн.</v>
      </c>
    </row>
    <row r="544" spans="1:13" ht="12.75" hidden="1" outlineLevel="1" thickTop="1" thickBot="1">
      <c r="A544" s="43" t="str">
        <f ca="1">OFFSET(Язык!$A$236,0,LANGUAGE)</f>
        <v xml:space="preserve">    среднее время хранения</v>
      </c>
      <c r="B544" s="42">
        <f>B542/2+B543</f>
        <v>0</v>
      </c>
      <c r="C544" s="41" t="str">
        <f ca="1">OFFSET(Язык!$A$23,0,LANGUAGE)</f>
        <v>дн.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t="12.75" hidden="1" outlineLevel="1" thickTop="1" thickBot="1"/>
    <row r="546" spans="1:13" ht="12.75" hidden="1" outlineLevel="1" thickTop="1" thickBot="1">
      <c r="A546" s="2" t="str">
        <f ca="1">OFFSET(Язык!$A$237,0,LANGUAGE)</f>
        <v>РАСЧЕТЫ С ПОКУПАТЕЛЯМИ</v>
      </c>
    </row>
    <row r="547" spans="1:13" ht="12.75" hidden="1" outlineLevel="1" thickTop="1" thickBot="1">
      <c r="A547" s="2" t="str">
        <f ca="1">OFFSET(Язык!$A$238,0,LANGUAGE)</f>
        <v>Поступления денег от продаж:</v>
      </c>
      <c r="B547" s="29" t="str">
        <f ca="1">OFFSET(Язык!$A$278,0,LANGUAGE)</f>
        <v>доля</v>
      </c>
      <c r="C547" s="29" t="str">
        <f ca="1">OFFSET(Язык!$A$279,0,LANGUAGE)</f>
        <v>срок, дн.</v>
      </c>
    </row>
    <row r="548" spans="1:13" ht="12.75" hidden="1" outlineLevel="1" thickTop="1" thickBot="1">
      <c r="A548" s="2" t="str">
        <f ca="1">OFFSET(Язык!$A$239,0,LANGUAGE)</f>
        <v xml:space="preserve">    немедленная оплата</v>
      </c>
      <c r="B548" s="70">
        <f>1-NWC_T_Db_AdvK-NWC_T_Db_CrdK</f>
        <v>1</v>
      </c>
      <c r="C548" s="6" t="s">
        <v>2042</v>
      </c>
    </row>
    <row r="549" spans="1:13" ht="12.75" hidden="1" outlineLevel="1" thickTop="1" thickBot="1">
      <c r="A549" s="2" t="str">
        <f ca="1">OFFSET(Язык!$A$240,0,LANGUAGE)</f>
        <v xml:space="preserve">    продажи с предоплатой</v>
      </c>
      <c r="B549" s="24">
        <v>0</v>
      </c>
      <c r="C549" s="7">
        <v>0</v>
      </c>
    </row>
    <row r="550" spans="1:13" ht="12.75" hidden="1" outlineLevel="1" thickTop="1" thickBot="1">
      <c r="A550" s="2" t="str">
        <f ca="1">OFFSET(Язык!$A$241,0,LANGUAGE)</f>
        <v xml:space="preserve">    продажи в кредит</v>
      </c>
      <c r="B550" s="24">
        <v>0</v>
      </c>
      <c r="C550" s="7">
        <v>0</v>
      </c>
    </row>
    <row r="551" spans="1:13" ht="12.75" hidden="1" outlineLevel="1" collapsed="1" thickTop="1" thickBot="1">
      <c r="A551" s="2" t="str">
        <f ca="1">OFFSET(Язык!$A$242,0,LANGUAGE)</f>
        <v>Сумма счетов к получению</v>
      </c>
      <c r="C551" s="6" t="str">
        <f t="shared" ref="C551:C556" ca="1" si="547">CUR_Main</f>
        <v>$</v>
      </c>
      <c r="D551" s="2" t="s">
        <v>1736</v>
      </c>
      <c r="F551" s="26">
        <f t="shared" ref="F551:J551" ca="1" si="548">F552+F553</f>
        <v>0</v>
      </c>
      <c r="G551" s="26">
        <f t="shared" ca="1" si="548"/>
        <v>0</v>
      </c>
      <c r="H551" s="26">
        <f t="shared" ca="1" si="548"/>
        <v>0</v>
      </c>
      <c r="I551" s="26">
        <f t="shared" ca="1" si="548"/>
        <v>0</v>
      </c>
      <c r="J551" s="26">
        <f t="shared" ca="1" si="548"/>
        <v>0</v>
      </c>
      <c r="K551" s="26">
        <f t="shared" ref="K551" ca="1" si="549">K552+K553</f>
        <v>0</v>
      </c>
    </row>
    <row r="552" spans="1:13" ht="12.75" hidden="1" outlineLevel="2" thickTop="1" thickBot="1">
      <c r="A552" s="2" t="str">
        <f ca="1">OFFSET(Язык!$A$243,0,LANGUAGE)</f>
        <v xml:space="preserve">    находящихся в обороте в течение расчетного периода</v>
      </c>
      <c r="C552" s="6" t="str">
        <f t="shared" ca="1" si="547"/>
        <v>$</v>
      </c>
      <c r="D552" s="2" t="s">
        <v>1736</v>
      </c>
      <c r="F552" s="26">
        <f>F183</f>
        <v>0</v>
      </c>
      <c r="G552" s="26">
        <f t="shared" ref="G552:J553" si="550">G183</f>
        <v>0</v>
      </c>
      <c r="H552" s="26">
        <f t="shared" si="550"/>
        <v>0</v>
      </c>
      <c r="I552" s="26">
        <f t="shared" si="550"/>
        <v>0</v>
      </c>
      <c r="J552" s="26">
        <f t="shared" si="550"/>
        <v>0</v>
      </c>
      <c r="K552" s="26">
        <f t="shared" ref="K552" si="551">K183</f>
        <v>0</v>
      </c>
    </row>
    <row r="553" spans="1:13" ht="12.75" hidden="1" outlineLevel="2" thickTop="1" thickBot="1">
      <c r="A553" s="2" t="str">
        <f ca="1">OFFSET(Язык!$A$244,0,LANGUAGE)</f>
        <v xml:space="preserve">    переходящих в следующий расчетный период</v>
      </c>
      <c r="C553" s="6" t="str">
        <f t="shared" ca="1" si="547"/>
        <v>$</v>
      </c>
      <c r="D553" s="2" t="s">
        <v>1736</v>
      </c>
      <c r="F553" s="26">
        <f ca="1">F184</f>
        <v>0</v>
      </c>
      <c r="G553" s="26">
        <f t="shared" ca="1" si="550"/>
        <v>0</v>
      </c>
      <c r="H553" s="26">
        <f t="shared" ca="1" si="550"/>
        <v>0</v>
      </c>
      <c r="I553" s="26">
        <f t="shared" ca="1" si="550"/>
        <v>0</v>
      </c>
      <c r="J553" s="26">
        <f t="shared" ca="1" si="550"/>
        <v>0</v>
      </c>
      <c r="K553" s="26">
        <f t="shared" ref="K553" ca="1" si="552">K184</f>
        <v>0</v>
      </c>
    </row>
    <row r="554" spans="1:13" ht="12.75" hidden="1" outlineLevel="1" collapsed="1" thickTop="1" thickBot="1">
      <c r="A554" s="2" t="str">
        <f ca="1">OFFSET(Язык!$A$245,0,LANGUAGE)</f>
        <v>Сумма полученных авансов</v>
      </c>
      <c r="C554" s="6" t="str">
        <f t="shared" ca="1" si="547"/>
        <v>$</v>
      </c>
      <c r="D554" s="2" t="s">
        <v>1736</v>
      </c>
      <c r="F554" s="26">
        <f t="shared" ref="F554:J554" ca="1" si="553">F555+F556</f>
        <v>0</v>
      </c>
      <c r="G554" s="26">
        <f t="shared" ca="1" si="553"/>
        <v>0</v>
      </c>
      <c r="H554" s="26">
        <f t="shared" ca="1" si="553"/>
        <v>0</v>
      </c>
      <c r="I554" s="26">
        <f t="shared" ca="1" si="553"/>
        <v>0</v>
      </c>
      <c r="J554" s="26">
        <f t="shared" ca="1" si="553"/>
        <v>0</v>
      </c>
      <c r="K554" s="26">
        <f t="shared" ref="K554" ca="1" si="554">K555+K556</f>
        <v>0</v>
      </c>
    </row>
    <row r="555" spans="1:13" ht="12.75" hidden="1" outlineLevel="2" thickTop="1" thickBot="1">
      <c r="A555" s="2" t="str">
        <f ca="1">OFFSET(Язык!$A$246,0,LANGUAGE)</f>
        <v xml:space="preserve">    находящихся в обороте в течение расчетного периода</v>
      </c>
      <c r="C555" s="6" t="str">
        <f t="shared" ca="1" si="547"/>
        <v>$</v>
      </c>
      <c r="D555" s="2" t="s">
        <v>1736</v>
      </c>
      <c r="F555" s="26">
        <f>F181</f>
        <v>0</v>
      </c>
      <c r="G555" s="26">
        <f t="shared" ref="G555:J556" si="555">G181</f>
        <v>0</v>
      </c>
      <c r="H555" s="26">
        <f t="shared" si="555"/>
        <v>0</v>
      </c>
      <c r="I555" s="26">
        <f t="shared" si="555"/>
        <v>0</v>
      </c>
      <c r="J555" s="26">
        <f t="shared" si="555"/>
        <v>0</v>
      </c>
      <c r="K555" s="26">
        <f t="shared" ref="K555" si="556">K181</f>
        <v>0</v>
      </c>
    </row>
    <row r="556" spans="1:13" ht="12.75" hidden="1" outlineLevel="2" thickTop="1" thickBot="1">
      <c r="A556" s="2" t="str">
        <f ca="1">OFFSET(Язык!$A$247,0,LANGUAGE)</f>
        <v xml:space="preserve">    переходящих в следующий расчетный период</v>
      </c>
      <c r="C556" s="6" t="str">
        <f t="shared" ca="1" si="547"/>
        <v>$</v>
      </c>
      <c r="D556" s="2" t="s">
        <v>1736</v>
      </c>
      <c r="F556" s="26">
        <f ca="1">F182</f>
        <v>0</v>
      </c>
      <c r="G556" s="26">
        <f t="shared" ca="1" si="555"/>
        <v>0</v>
      </c>
      <c r="H556" s="26">
        <f t="shared" ca="1" si="555"/>
        <v>0</v>
      </c>
      <c r="I556" s="26">
        <f t="shared" ca="1" si="555"/>
        <v>0</v>
      </c>
      <c r="J556" s="26">
        <f t="shared" ca="1" si="555"/>
        <v>0</v>
      </c>
      <c r="K556" s="26">
        <f t="shared" ref="K556" ca="1" si="557">K182</f>
        <v>0</v>
      </c>
    </row>
    <row r="557" spans="1:13" ht="12.75" hidden="1" outlineLevel="1" thickTop="1" thickBot="1">
      <c r="A557" s="68"/>
      <c r="B557" s="67"/>
      <c r="C557" s="67"/>
      <c r="D557" s="68"/>
      <c r="E557" s="68"/>
      <c r="F557" s="68"/>
      <c r="G557" s="68"/>
      <c r="H557" s="68"/>
      <c r="I557" s="68"/>
      <c r="J557" s="68"/>
      <c r="K557" s="68"/>
      <c r="L557" s="68"/>
      <c r="M557" s="68"/>
    </row>
    <row r="558" spans="1:13" ht="12.75" hidden="1" outlineLevel="1" thickTop="1" thickBot="1">
      <c r="A558" s="2" t="str">
        <f ca="1">OFFSET(Язык!$A$248,0,LANGUAGE)</f>
        <v>РАСЧЕТЫ С ПОСТАВЩИКАМИ</v>
      </c>
    </row>
    <row r="559" spans="1:13" ht="12.75" hidden="1" outlineLevel="1" thickTop="1" thickBot="1">
      <c r="A559" s="2" t="str">
        <f ca="1">OFFSET(Язык!$A$249,0,LANGUAGE)</f>
        <v>Оплата материалов и комплектующих:</v>
      </c>
      <c r="B559" s="29" t="str">
        <f ca="1">OFFSET(Язык!$A$278,0,LANGUAGE)</f>
        <v>доля</v>
      </c>
      <c r="C559" s="29" t="str">
        <f ca="1">OFFSET(Язык!$A$279,0,LANGUAGE)</f>
        <v>срок, дн.</v>
      </c>
    </row>
    <row r="560" spans="1:13" ht="12.75" hidden="1" outlineLevel="1" thickTop="1" thickBot="1">
      <c r="A560" s="2" t="str">
        <f ca="1">OFFSET(Язык!$A$250,0,LANGUAGE)</f>
        <v xml:space="preserve">    немедленная оплата</v>
      </c>
      <c r="B560" s="70">
        <f>1-NWC_T_Cr_AdvK-NWC_T_Cr_CrdK</f>
        <v>1</v>
      </c>
      <c r="C560" s="6" t="s">
        <v>2042</v>
      </c>
    </row>
    <row r="561" spans="1:13" ht="12.75" hidden="1" outlineLevel="1" thickTop="1" thickBot="1">
      <c r="A561" s="2" t="str">
        <f ca="1">OFFSET(Язык!$A$251,0,LANGUAGE)</f>
        <v xml:space="preserve">    авансовая оплата</v>
      </c>
      <c r="B561" s="24">
        <v>0</v>
      </c>
      <c r="C561" s="7">
        <v>0</v>
      </c>
    </row>
    <row r="562" spans="1:13" ht="12.75" hidden="1" outlineLevel="1" thickTop="1" thickBot="1">
      <c r="A562" s="2" t="str">
        <f ca="1">OFFSET(Язык!$A$252,0,LANGUAGE)</f>
        <v xml:space="preserve">    оплата в кредит</v>
      </c>
      <c r="B562" s="24">
        <v>0</v>
      </c>
      <c r="C562" s="7">
        <v>0</v>
      </c>
    </row>
    <row r="563" spans="1:13" ht="12.75" hidden="1" outlineLevel="1" collapsed="1" thickTop="1" thickBot="1">
      <c r="A563" s="2" t="str">
        <f ca="1">OFFSET(Язык!$A$253,0,LANGUAGE)</f>
        <v>Сумма счетов к оплате</v>
      </c>
      <c r="C563" s="6" t="str">
        <f t="shared" ref="C563:C568" ca="1" si="558">CUR_Main</f>
        <v>$</v>
      </c>
      <c r="D563" s="2" t="s">
        <v>1736</v>
      </c>
      <c r="F563" s="26">
        <f t="shared" ref="F563:J563" ca="1" si="559">F564+F565</f>
        <v>0</v>
      </c>
      <c r="G563" s="26">
        <f t="shared" ca="1" si="559"/>
        <v>0</v>
      </c>
      <c r="H563" s="26">
        <f t="shared" ca="1" si="559"/>
        <v>0</v>
      </c>
      <c r="I563" s="26">
        <f t="shared" ca="1" si="559"/>
        <v>0</v>
      </c>
      <c r="J563" s="26">
        <f t="shared" ca="1" si="559"/>
        <v>0</v>
      </c>
      <c r="K563" s="26">
        <f t="shared" ref="K563" ca="1" si="560">K564+K565</f>
        <v>0</v>
      </c>
    </row>
    <row r="564" spans="1:13" ht="12.75" hidden="1" outlineLevel="2" thickTop="1" thickBot="1">
      <c r="A564" s="2" t="str">
        <f ca="1">OFFSET(Язык!$A$254,0,LANGUAGE)</f>
        <v xml:space="preserve">    находящихся в обороте в течение расчетного периода</v>
      </c>
      <c r="C564" s="6" t="str">
        <f t="shared" ca="1" si="558"/>
        <v>$</v>
      </c>
      <c r="D564" s="2" t="s">
        <v>1736</v>
      </c>
      <c r="F564" s="26">
        <f>F273</f>
        <v>0</v>
      </c>
      <c r="G564" s="26">
        <f t="shared" ref="G564:J565" si="561">G273</f>
        <v>0</v>
      </c>
      <c r="H564" s="26">
        <f t="shared" si="561"/>
        <v>0</v>
      </c>
      <c r="I564" s="26">
        <f t="shared" si="561"/>
        <v>0</v>
      </c>
      <c r="J564" s="26">
        <f t="shared" si="561"/>
        <v>0</v>
      </c>
      <c r="K564" s="26">
        <f t="shared" ref="K564" si="562">K273</f>
        <v>0</v>
      </c>
    </row>
    <row r="565" spans="1:13" ht="12.75" hidden="1" outlineLevel="2" thickTop="1" thickBot="1">
      <c r="A565" s="2" t="str">
        <f ca="1">OFFSET(Язык!$A$255,0,LANGUAGE)</f>
        <v xml:space="preserve">    переходящих в следующий расчетный период</v>
      </c>
      <c r="C565" s="6" t="str">
        <f t="shared" ca="1" si="558"/>
        <v>$</v>
      </c>
      <c r="D565" s="2" t="s">
        <v>1736</v>
      </c>
      <c r="F565" s="26">
        <f ca="1">F274</f>
        <v>0</v>
      </c>
      <c r="G565" s="26">
        <f t="shared" ca="1" si="561"/>
        <v>0</v>
      </c>
      <c r="H565" s="26">
        <f t="shared" ca="1" si="561"/>
        <v>0</v>
      </c>
      <c r="I565" s="26">
        <f t="shared" ca="1" si="561"/>
        <v>0</v>
      </c>
      <c r="J565" s="26">
        <f t="shared" ca="1" si="561"/>
        <v>0</v>
      </c>
      <c r="K565" s="26">
        <f t="shared" ref="K565" ca="1" si="563">K274</f>
        <v>0</v>
      </c>
    </row>
    <row r="566" spans="1:13" ht="12.75" hidden="1" outlineLevel="1" collapsed="1" thickTop="1" thickBot="1">
      <c r="A566" s="2" t="str">
        <f ca="1">OFFSET(Язык!$A$256,0,LANGUAGE)</f>
        <v>Сумма уплаченных авансов</v>
      </c>
      <c r="C566" s="6" t="str">
        <f t="shared" ca="1" si="558"/>
        <v>$</v>
      </c>
      <c r="D566" s="2" t="s">
        <v>1736</v>
      </c>
      <c r="F566" s="26">
        <f t="shared" ref="F566:J566" ca="1" si="564">F567+F568</f>
        <v>0</v>
      </c>
      <c r="G566" s="26">
        <f t="shared" ca="1" si="564"/>
        <v>0</v>
      </c>
      <c r="H566" s="26">
        <f t="shared" ca="1" si="564"/>
        <v>0</v>
      </c>
      <c r="I566" s="26">
        <f t="shared" ca="1" si="564"/>
        <v>0</v>
      </c>
      <c r="J566" s="26">
        <f t="shared" ca="1" si="564"/>
        <v>0</v>
      </c>
      <c r="K566" s="26">
        <f t="shared" ref="K566" ca="1" si="565">K567+K568</f>
        <v>0</v>
      </c>
    </row>
    <row r="567" spans="1:13" ht="12.75" hidden="1" outlineLevel="2" thickTop="1" thickBot="1">
      <c r="A567" s="2" t="str">
        <f ca="1">OFFSET(Язык!$A$257,0,LANGUAGE)</f>
        <v xml:space="preserve">    находящихся в обороте в течение расчетного периода</v>
      </c>
      <c r="C567" s="6" t="str">
        <f t="shared" ca="1" si="558"/>
        <v>$</v>
      </c>
      <c r="D567" s="2" t="s">
        <v>1736</v>
      </c>
      <c r="F567" s="26">
        <f>F271</f>
        <v>0</v>
      </c>
      <c r="G567" s="26">
        <f t="shared" ref="G567:J568" si="566">G271</f>
        <v>0</v>
      </c>
      <c r="H567" s="26">
        <f t="shared" si="566"/>
        <v>0</v>
      </c>
      <c r="I567" s="26">
        <f t="shared" si="566"/>
        <v>0</v>
      </c>
      <c r="J567" s="26">
        <f t="shared" si="566"/>
        <v>0</v>
      </c>
      <c r="K567" s="26">
        <f t="shared" ref="K567" si="567">K271</f>
        <v>0</v>
      </c>
    </row>
    <row r="568" spans="1:13" ht="12.75" hidden="1" outlineLevel="2" thickTop="1" thickBot="1">
      <c r="A568" s="2" t="str">
        <f ca="1">OFFSET(Язык!$A$258,0,LANGUAGE)</f>
        <v xml:space="preserve">    переходящих в следующий расчетный период</v>
      </c>
      <c r="C568" s="6" t="str">
        <f t="shared" ca="1" si="558"/>
        <v>$</v>
      </c>
      <c r="D568" s="2" t="s">
        <v>1736</v>
      </c>
      <c r="F568" s="26">
        <f ca="1">F272</f>
        <v>0</v>
      </c>
      <c r="G568" s="26">
        <f t="shared" ca="1" si="566"/>
        <v>0</v>
      </c>
      <c r="H568" s="26">
        <f t="shared" ca="1" si="566"/>
        <v>0</v>
      </c>
      <c r="I568" s="26">
        <f t="shared" ca="1" si="566"/>
        <v>0</v>
      </c>
      <c r="J568" s="26">
        <f t="shared" ca="1" si="566"/>
        <v>0</v>
      </c>
      <c r="K568" s="26">
        <f t="shared" ref="K568" ca="1" si="568">K272</f>
        <v>0</v>
      </c>
    </row>
    <row r="569" spans="1:13" ht="12.75" hidden="1" outlineLevel="1" thickTop="1" thickBot="1">
      <c r="A569" s="68"/>
      <c r="B569" s="67"/>
      <c r="C569" s="67"/>
      <c r="D569" s="68"/>
      <c r="E569" s="68"/>
      <c r="F569" s="68"/>
      <c r="G569" s="68"/>
      <c r="H569" s="68"/>
      <c r="I569" s="68"/>
      <c r="J569" s="68"/>
      <c r="K569" s="68"/>
      <c r="L569" s="68"/>
      <c r="M569" s="68"/>
    </row>
    <row r="570" spans="1:13" ht="12.75" hidden="1" outlineLevel="1" thickTop="1" thickBot="1">
      <c r="A570" s="2" t="str">
        <f ca="1">OFFSET(Язык!$A$259,0,LANGUAGE)</f>
        <v>РАСЧЕТЫ С БЮДЖЕТОМ</v>
      </c>
    </row>
    <row r="571" spans="1:13" ht="12.75" hidden="1" outlineLevel="1" thickTop="1" thickBot="1">
      <c r="A571" s="2" t="str">
        <f ca="1">OFFSET(Язык!$A$260,0,LANGUAGE)</f>
        <v>По НДС</v>
      </c>
      <c r="C571" s="6" t="str">
        <f ca="1">CUR_Main</f>
        <v>$</v>
      </c>
      <c r="D571" s="2" t="s">
        <v>1736</v>
      </c>
      <c r="F571" s="26"/>
      <c r="G571" s="26">
        <f t="shared" ref="G571:J571" ca="1" si="569">G691*VAT_Period/PRJ_Step</f>
        <v>6511.830357142856</v>
      </c>
      <c r="H571" s="26">
        <f t="shared" ca="1" si="569"/>
        <v>-8177.6785714285634</v>
      </c>
      <c r="I571" s="26">
        <f t="shared" ca="1" si="569"/>
        <v>19545.625000000015</v>
      </c>
      <c r="J571" s="26">
        <f t="shared" ca="1" si="569"/>
        <v>21500.187500000015</v>
      </c>
      <c r="K571" s="26">
        <f t="shared" ref="K571" ca="1" si="570">K691*VAT_Period/PRJ_Step</f>
        <v>23650.20625000001</v>
      </c>
    </row>
    <row r="572" spans="1:13" ht="12.75" hidden="1" outlineLevel="1" thickTop="1" thickBot="1">
      <c r="A572" s="2" t="str">
        <f ca="1">OFFSET(Язык!$A$261,0,LANGUAGE)</f>
        <v>По акцизам и экспортным пошлинам</v>
      </c>
      <c r="C572" s="6" t="str">
        <f ca="1">CUR_Main</f>
        <v>$</v>
      </c>
      <c r="D572" s="2" t="s">
        <v>1736</v>
      </c>
      <c r="F572" s="26"/>
      <c r="G572" s="26">
        <f t="shared" ref="G572:J573" si="571">G673*$B673/PRJ_Step</f>
        <v>0</v>
      </c>
      <c r="H572" s="26">
        <f t="shared" si="571"/>
        <v>0</v>
      </c>
      <c r="I572" s="26">
        <f t="shared" si="571"/>
        <v>0</v>
      </c>
      <c r="J572" s="26">
        <f t="shared" si="571"/>
        <v>0</v>
      </c>
      <c r="K572" s="26">
        <f t="shared" ref="K572" si="572">K673*$B673/PRJ_Step</f>
        <v>0</v>
      </c>
    </row>
    <row r="573" spans="1:13" ht="12.75" hidden="1" outlineLevel="1" thickTop="1" thickBot="1">
      <c r="A573" s="2" t="str">
        <f ca="1">OFFSET(Язык!$A$262,0,LANGUAGE)</f>
        <v>По импортным пошлинам</v>
      </c>
      <c r="C573" s="6" t="str">
        <f ca="1">CUR_Main</f>
        <v>$</v>
      </c>
      <c r="D573" s="2" t="s">
        <v>1736</v>
      </c>
      <c r="F573" s="26"/>
      <c r="G573" s="26">
        <f t="shared" si="571"/>
        <v>0</v>
      </c>
      <c r="H573" s="26">
        <f t="shared" si="571"/>
        <v>0</v>
      </c>
      <c r="I573" s="26">
        <f t="shared" si="571"/>
        <v>0</v>
      </c>
      <c r="J573" s="26">
        <f t="shared" si="571"/>
        <v>0</v>
      </c>
      <c r="K573" s="26">
        <f t="shared" ref="K573" si="573">K674*$B674/PRJ_Step</f>
        <v>0</v>
      </c>
    </row>
    <row r="574" spans="1:13" ht="12.75" hidden="1" outlineLevel="1" thickTop="1" thickBot="1">
      <c r="A574" s="2" t="str">
        <f ca="1">OFFSET(Язык!$A$263,0,LANGUAGE)</f>
        <v>По налогу на прибыль</v>
      </c>
      <c r="C574" s="6" t="str">
        <f ca="1">CUR_Main</f>
        <v>$</v>
      </c>
      <c r="D574" s="2" t="s">
        <v>1736</v>
      </c>
      <c r="F574" s="26"/>
      <c r="G574" s="26">
        <f t="shared" ref="G574:J574" ca="1" si="574">G736*ProfitTax_Period/PRJ_Step</f>
        <v>110353.80714285716</v>
      </c>
      <c r="H574" s="26">
        <f t="shared" ca="1" si="574"/>
        <v>197159.25017857153</v>
      </c>
      <c r="I574" s="26">
        <f t="shared" ca="1" si="574"/>
        <v>170393.81853571447</v>
      </c>
      <c r="J574" s="26">
        <f t="shared" ca="1" si="574"/>
        <v>228356.3879785717</v>
      </c>
      <c r="K574" s="26">
        <f t="shared" ref="K574" ca="1" si="575">K736*ProfitTax_Period/PRJ_Step</f>
        <v>289153.75490142882</v>
      </c>
    </row>
    <row r="575" spans="1:13" ht="12.75" hidden="1" outlineLevel="1" thickTop="1" thickBot="1">
      <c r="A575" s="2" t="str">
        <f ca="1">OFFSET(Язык!$A$264,0,LANGUAGE)</f>
        <v>По прочим налогам и платежам</v>
      </c>
      <c r="C575" s="6" t="str">
        <f ca="1">CUR_Main</f>
        <v>$</v>
      </c>
      <c r="D575" s="2" t="s">
        <v>1736</v>
      </c>
      <c r="F575" s="26"/>
      <c r="G575" s="26">
        <f t="shared" ref="G575:J575" ca="1" si="576">(G699*IF(($B701+$B704)&gt;0,($B702*$B701+$B705*$B704)/($B701+$B704),0)+G706*$B709+G711*$B713+G714*$B717+G721*$B725+G726*$B730)/PRJ_Step</f>
        <v>1709.5</v>
      </c>
      <c r="H575" s="26">
        <f t="shared" ca="1" si="576"/>
        <v>7259.2462053571426</v>
      </c>
      <c r="I575" s="26">
        <f t="shared" ca="1" si="576"/>
        <v>20042.150758928568</v>
      </c>
      <c r="J575" s="26">
        <f t="shared" ca="1" si="576"/>
        <v>19201.305455357142</v>
      </c>
      <c r="K575" s="26">
        <f t="shared" ref="K575" ca="1" si="577">(K699*IF(($B701+$B704)&gt;0,($B702*$B701+$B705*$B704)/($B701+$B704),0)+K706*$B709+K711*$B713+K714*$B717+K721*$B725+K726*$B730)/PRJ_Step</f>
        <v>18443.199951785711</v>
      </c>
    </row>
    <row r="576" spans="1:13" ht="12.75" hidden="1" outlineLevel="1" thickTop="1" thickBot="1">
      <c r="A576" s="68"/>
      <c r="B576" s="67"/>
      <c r="C576" s="67"/>
      <c r="D576" s="68"/>
      <c r="E576" s="68"/>
      <c r="F576" s="68"/>
      <c r="G576" s="68"/>
      <c r="H576" s="68"/>
      <c r="I576" s="68"/>
      <c r="J576" s="68"/>
      <c r="K576" s="68"/>
      <c r="L576" s="68"/>
      <c r="M576" s="68"/>
    </row>
    <row r="577" spans="1:13" ht="12.75" hidden="1" outlineLevel="1" thickTop="1" thickBot="1">
      <c r="A577" s="2" t="str">
        <f ca="1">OFFSET(Язык!$A$265,0,LANGUAGE)</f>
        <v>РАСЧЕТЫ С ПЕРСОНАЛОМ</v>
      </c>
    </row>
    <row r="578" spans="1:13" ht="12.75" hidden="1" outlineLevel="1" thickTop="1" thickBot="1">
      <c r="A578" s="2" t="str">
        <f ca="1">OFFSET(Язык!$A$266,0,LANGUAGE)</f>
        <v>Текущая задолженность по заработной плате</v>
      </c>
      <c r="C578" s="6" t="str">
        <f ca="1">CUR_Main</f>
        <v>$</v>
      </c>
      <c r="D578" s="2" t="s">
        <v>1736</v>
      </c>
      <c r="F578" s="26"/>
      <c r="G578" s="26">
        <f t="shared" ref="G578:J578" ca="1" si="578">G305*$B579/PRJ_Step</f>
        <v>3287.5</v>
      </c>
      <c r="H578" s="26">
        <f t="shared" si="578"/>
        <v>1842.5</v>
      </c>
      <c r="I578" s="26">
        <f t="shared" ca="1" si="578"/>
        <v>15911.5</v>
      </c>
      <c r="J578" s="26">
        <f t="shared" ca="1" si="578"/>
        <v>17502.650000000001</v>
      </c>
      <c r="K578" s="26">
        <f t="shared" ref="K578" ca="1" si="579">K305*$B579/PRJ_Step</f>
        <v>19252.915000000001</v>
      </c>
    </row>
    <row r="579" spans="1:13" ht="12.75" hidden="1" outlineLevel="1" thickTop="1" thickBot="1">
      <c r="A579" s="2" t="str">
        <f ca="1">OFFSET(Язык!$A$267,0,LANGUAGE)</f>
        <v xml:space="preserve">    частота выплаты заработной платы</v>
      </c>
      <c r="B579" s="7">
        <v>15</v>
      </c>
      <c r="C579" s="6" t="str">
        <f ca="1">OFFSET(Язык!$A$23,0,LANGUAGE)</f>
        <v>дн.</v>
      </c>
    </row>
    <row r="580" spans="1:13" ht="12.75" hidden="1" outlineLevel="1" thickTop="1" thickBot="1">
      <c r="A580" s="68"/>
      <c r="B580" s="67"/>
      <c r="C580" s="67"/>
      <c r="D580" s="68"/>
      <c r="E580" s="68"/>
      <c r="F580" s="68"/>
      <c r="G580" s="68"/>
      <c r="H580" s="68"/>
      <c r="I580" s="68"/>
      <c r="J580" s="68"/>
      <c r="K580" s="68"/>
      <c r="L580" s="68"/>
      <c r="M580" s="68"/>
    </row>
    <row r="581" spans="1:13" ht="12.75" hidden="1" outlineLevel="1" thickTop="1" thickBot="1">
      <c r="A581" s="2" t="str">
        <f ca="1">OFFSET(Язык!$A$268,0,LANGUAGE)</f>
        <v>РЕЗЕРВ ДЕНЕЖНЫХ СРЕДСТВ</v>
      </c>
    </row>
    <row r="582" spans="1:13" ht="12.75" hidden="1" outlineLevel="1" thickTop="1" thickBot="1">
      <c r="A582" s="2" t="str">
        <f ca="1">OFFSET(Язык!$A$269,0,LANGUAGE)</f>
        <v>Резерв средств на обеспечение текущих расчетов</v>
      </c>
      <c r="C582" s="6" t="str">
        <f ca="1">CUR_Main</f>
        <v>$</v>
      </c>
      <c r="D582" s="2" t="s">
        <v>1736</v>
      </c>
      <c r="F582" s="26"/>
      <c r="G582" s="26">
        <f t="shared" ref="G582:J582" ca="1" si="580">IF($B583=1,G371*$B584/PRJ_Step,0)</f>
        <v>37232.980555555558</v>
      </c>
      <c r="H582" s="26">
        <f t="shared" ca="1" si="580"/>
        <v>71245.751111111109</v>
      </c>
      <c r="I582" s="26">
        <f t="shared" ca="1" si="580"/>
        <v>86534.559222222219</v>
      </c>
      <c r="J582" s="26">
        <f t="shared" ca="1" si="580"/>
        <v>95188.015144444449</v>
      </c>
      <c r="K582" s="26">
        <f t="shared" ref="K582" ca="1" si="581">IF($B583=1,K371*$B584/PRJ_Step,0)</f>
        <v>104706.8166588889</v>
      </c>
    </row>
    <row r="583" spans="1:13" ht="12.75" hidden="1" outlineLevel="1" thickTop="1" thickBot="1">
      <c r="A583" s="2" t="str">
        <f ca="1">OFFSET(Язык!$A$270,0,LANGUAGE)</f>
        <v xml:space="preserve">    создавать?</v>
      </c>
      <c r="B583" s="7">
        <v>1</v>
      </c>
      <c r="C583" s="63" t="str">
        <f ca="1">OFFSET(Язык!$A$544,B583-1,LANGUAGE)</f>
        <v>да</v>
      </c>
    </row>
    <row r="584" spans="1:13" ht="12.75" hidden="1" outlineLevel="1" thickTop="1" thickBot="1">
      <c r="A584" s="2" t="str">
        <f ca="1">OFFSET(Язык!$A$271,0,LANGUAGE)</f>
        <v xml:space="preserve">    покрытие потребности</v>
      </c>
      <c r="B584" s="7">
        <v>7</v>
      </c>
      <c r="C584" s="6" t="str">
        <f ca="1">OFFSET(Язык!$A$23,0,LANGUAGE)</f>
        <v>дн.</v>
      </c>
    </row>
    <row r="585" spans="1:13" ht="12.75" hidden="1" outlineLevel="1" thickTop="1" thickBot="1">
      <c r="A585" s="68"/>
      <c r="B585" s="67"/>
      <c r="C585" s="67"/>
      <c r="D585" s="68"/>
      <c r="E585" s="68"/>
      <c r="F585" s="68"/>
      <c r="G585" s="68"/>
      <c r="H585" s="68"/>
      <c r="I585" s="68"/>
      <c r="J585" s="68"/>
      <c r="K585" s="68"/>
      <c r="L585" s="68"/>
      <c r="M585" s="68"/>
    </row>
    <row r="586" spans="1:13" ht="12.75" hidden="1" outlineLevel="1" thickTop="1" thickBot="1">
      <c r="A586" s="2" t="str">
        <f ca="1">OFFSET(Язык!$A$272,0,LANGUAGE)</f>
        <v>Итого текущих активов</v>
      </c>
      <c r="C586" s="6" t="str">
        <f t="shared" ref="C586:C591" ca="1" si="582">CUR_Main</f>
        <v>$</v>
      </c>
      <c r="D586" s="2" t="s">
        <v>1736</v>
      </c>
      <c r="F586" s="26"/>
      <c r="G586" s="26">
        <f t="shared" ref="G586:J586" ca="1" si="583">G535+G539+G541+G551+G582+G566</f>
        <v>37232.980555555558</v>
      </c>
      <c r="H586" s="26">
        <f t="shared" ca="1" si="583"/>
        <v>71245.751111111109</v>
      </c>
      <c r="I586" s="26">
        <f t="shared" ca="1" si="583"/>
        <v>86534.559222222219</v>
      </c>
      <c r="J586" s="26">
        <f t="shared" ca="1" si="583"/>
        <v>95188.015144444449</v>
      </c>
      <c r="K586" s="26">
        <f t="shared" ref="K586" ca="1" si="584">K535+K539+K541+K551+K582+K566</f>
        <v>104706.8166588889</v>
      </c>
    </row>
    <row r="587" spans="1:13" ht="12.75" hidden="1" outlineLevel="1" thickTop="1" thickBot="1">
      <c r="A587" s="2" t="str">
        <f ca="1">OFFSET(Язык!$A$273,0,LANGUAGE)</f>
        <v>Итого текущих обязательств</v>
      </c>
      <c r="C587" s="6" t="str">
        <f t="shared" ca="1" si="582"/>
        <v>$</v>
      </c>
      <c r="D587" s="2" t="s">
        <v>1736</v>
      </c>
      <c r="F587" s="26"/>
      <c r="G587" s="26">
        <f t="shared" ref="G587:J587" ca="1" si="585">G563+SUM(G571:G575)+G578+G554</f>
        <v>121862.63750000001</v>
      </c>
      <c r="H587" s="26">
        <f t="shared" ca="1" si="585"/>
        <v>198083.31781250011</v>
      </c>
      <c r="I587" s="26">
        <f t="shared" ca="1" si="585"/>
        <v>225893.09429464303</v>
      </c>
      <c r="J587" s="26">
        <f t="shared" ca="1" si="585"/>
        <v>286560.53093392885</v>
      </c>
      <c r="K587" s="26">
        <f t="shared" ref="K587" ca="1" si="586">K563+SUM(K571:K575)+K578+K554</f>
        <v>350500.07610321452</v>
      </c>
    </row>
    <row r="588" spans="1:13" ht="12.75" hidden="1" outlineLevel="1" thickTop="1" thickBot="1">
      <c r="A588" s="2" t="str">
        <f ca="1">OFFSET(Язык!$A$274,0,LANGUAGE)</f>
        <v>Оборотный капитал компании</v>
      </c>
      <c r="C588" s="6" t="str">
        <f t="shared" ca="1" si="582"/>
        <v>$</v>
      </c>
      <c r="D588" s="2" t="s">
        <v>1736</v>
      </c>
      <c r="F588" s="26"/>
      <c r="G588" s="26">
        <f t="shared" ref="G588:J588" ca="1" si="587">G586-G587</f>
        <v>-84629.656944444461</v>
      </c>
      <c r="H588" s="26">
        <f t="shared" ca="1" si="587"/>
        <v>-126837.56670138901</v>
      </c>
      <c r="I588" s="26">
        <f t="shared" ca="1" si="587"/>
        <v>-139358.53507242081</v>
      </c>
      <c r="J588" s="26">
        <f t="shared" ca="1" si="587"/>
        <v>-191372.5157894844</v>
      </c>
      <c r="K588" s="26">
        <f t="shared" ref="K588" ca="1" si="588">K586-K587</f>
        <v>-245793.25944432564</v>
      </c>
    </row>
    <row r="589" spans="1:13" ht="12.75" hidden="1" outlineLevel="1" thickTop="1" thickBot="1">
      <c r="A589" s="32" t="str">
        <f ca="1">OFFSET(Язык!$A$275,0,LANGUAGE)</f>
        <v>Изменение оборотного капитала</v>
      </c>
      <c r="B589" s="63"/>
      <c r="C589" s="6" t="str">
        <f t="shared" ca="1" si="582"/>
        <v>$</v>
      </c>
      <c r="D589" s="32" t="s">
        <v>1736</v>
      </c>
      <c r="E589" s="32"/>
      <c r="F589" s="62"/>
      <c r="G589" s="62">
        <f t="shared" ref="G589:K589" ca="1" si="589">G588-F588</f>
        <v>-84629.656944444461</v>
      </c>
      <c r="H589" s="62">
        <f t="shared" ca="1" si="589"/>
        <v>-42207.909756944544</v>
      </c>
      <c r="I589" s="62">
        <f t="shared" ca="1" si="589"/>
        <v>-12520.968371031806</v>
      </c>
      <c r="J589" s="62">
        <f t="shared" ca="1" si="589"/>
        <v>-52013.98071706359</v>
      </c>
      <c r="K589" s="62">
        <f t="shared" ca="1" si="589"/>
        <v>-54420.743654841237</v>
      </c>
      <c r="L589" s="32"/>
      <c r="M589" s="27">
        <f ca="1">SUM(F589:K589)</f>
        <v>-245793.25944432564</v>
      </c>
    </row>
    <row r="590" spans="1:13" s="73" customFormat="1" ht="12.75" hidden="1" outlineLevel="1" thickTop="1" thickBot="1">
      <c r="A590" s="2" t="str">
        <f ca="1">OFFSET(Язык!$A$276,0,LANGUAGE)</f>
        <v>Капитал, задействованный в расчетах с контрагентами</v>
      </c>
      <c r="B590" s="71"/>
      <c r="C590" s="71" t="str">
        <f t="shared" ca="1" si="582"/>
        <v>$</v>
      </c>
      <c r="D590" s="47" t="s">
        <v>1736</v>
      </c>
      <c r="E590" s="47"/>
      <c r="F590" s="72"/>
      <c r="G590" s="72">
        <f t="shared" ref="G590:J590" ca="1" si="590">(G552+G582+G567)-(G555+G564+SUM(G571:G575)+G578)+G539+G541-G257-G260-G261</f>
        <v>-84629.656944444461</v>
      </c>
      <c r="H590" s="72">
        <f t="shared" ca="1" si="590"/>
        <v>-126837.56670138901</v>
      </c>
      <c r="I590" s="72">
        <f t="shared" ca="1" si="590"/>
        <v>-139358.53507242081</v>
      </c>
      <c r="J590" s="72">
        <f t="shared" ca="1" si="590"/>
        <v>-191372.5157894844</v>
      </c>
      <c r="K590" s="72">
        <f t="shared" ref="K590" ca="1" si="591">(K552+K582+K567)-(K555+K564+SUM(K571:K575)+K578)+K539+K541-K257-K260-K261</f>
        <v>-245793.25944432564</v>
      </c>
      <c r="L590" s="47"/>
      <c r="M590" s="30"/>
    </row>
    <row r="591" spans="1:13" ht="12.75" hidden="1" outlineLevel="1" thickTop="1" thickBot="1">
      <c r="A591" s="32" t="str">
        <f ca="1">OFFSET(Язык!$A$277,0,LANGUAGE)</f>
        <v>Инвестиции в ЧОК для организации расчетов</v>
      </c>
      <c r="C591" s="6" t="str">
        <f t="shared" ca="1" si="582"/>
        <v>$</v>
      </c>
      <c r="D591" s="2" t="s">
        <v>1736</v>
      </c>
      <c r="F591" s="26"/>
      <c r="G591" s="62">
        <f t="shared" ref="G591:K591" ca="1" si="592">G590-F590</f>
        <v>-84629.656944444461</v>
      </c>
      <c r="H591" s="62">
        <f t="shared" ca="1" si="592"/>
        <v>-42207.909756944544</v>
      </c>
      <c r="I591" s="62">
        <f t="shared" ca="1" si="592"/>
        <v>-12520.968371031806</v>
      </c>
      <c r="J591" s="62">
        <f t="shared" ca="1" si="592"/>
        <v>-52013.98071706359</v>
      </c>
      <c r="K591" s="62">
        <f t="shared" ca="1" si="592"/>
        <v>-54420.743654841237</v>
      </c>
      <c r="M591" s="27">
        <f ca="1">SUM(F591:K591)</f>
        <v>-245793.25944432564</v>
      </c>
    </row>
    <row r="592" spans="1:13" ht="12.75" hidden="1" outlineLevel="1" thickTop="1" thickBot="1">
      <c r="A592" s="156"/>
      <c r="B592" s="67"/>
      <c r="C592" s="67"/>
      <c r="D592" s="68"/>
      <c r="E592" s="68"/>
      <c r="F592" s="69"/>
      <c r="G592" s="157"/>
      <c r="H592" s="157"/>
      <c r="I592" s="157"/>
      <c r="J592" s="157"/>
      <c r="K592" s="157"/>
      <c r="L592" s="68"/>
      <c r="M592" s="158"/>
    </row>
    <row r="593" spans="1:13" ht="12.75" hidden="1" outlineLevel="1" thickTop="1" thickBot="1"/>
    <row r="594" spans="1:13" ht="15.95" customHeight="1" collapsed="1" thickTop="1" thickBot="1">
      <c r="A594" s="18"/>
      <c r="B594" s="23"/>
      <c r="C594" s="19"/>
      <c r="D594" s="18"/>
      <c r="E594" s="18"/>
      <c r="F594" s="19" t="str">
        <f t="shared" ref="F594:K594" si="593">PeriodTitle</f>
        <v>"0"</v>
      </c>
      <c r="G594" s="19">
        <f t="shared" si="593"/>
        <v>2013</v>
      </c>
      <c r="H594" s="19">
        <f t="shared" si="593"/>
        <v>2014</v>
      </c>
      <c r="I594" s="19">
        <f t="shared" si="593"/>
        <v>2015</v>
      </c>
      <c r="J594" s="19">
        <f t="shared" si="593"/>
        <v>2016</v>
      </c>
      <c r="K594" s="19">
        <f t="shared" si="593"/>
        <v>2017</v>
      </c>
      <c r="L594" s="19"/>
      <c r="M594" s="23" t="str">
        <f ca="1">OFFSET(Язык!$A$77,0,LANGUAGE)</f>
        <v>ИТОГО</v>
      </c>
    </row>
    <row r="595" spans="1:13" ht="12" hidden="1" outlineLevel="1" thickTop="1"/>
    <row r="596" spans="1:13" hidden="1" outlineLevel="1" collapsed="1">
      <c r="A596" s="2" t="str">
        <f ca="1">OFFSET(Язык!$A$282,0,LANGUAGE)</f>
        <v>Обыкновенные акции:</v>
      </c>
      <c r="C596" s="6" t="str">
        <f ca="1">CUR_Main</f>
        <v>$</v>
      </c>
      <c r="F596" s="40">
        <f t="shared" ref="F596:J596" si="594">SUM(F598:F601)</f>
        <v>0</v>
      </c>
      <c r="G596" s="40">
        <f t="shared" si="594"/>
        <v>0</v>
      </c>
      <c r="H596" s="40">
        <f t="shared" si="594"/>
        <v>0</v>
      </c>
      <c r="I596" s="40">
        <f t="shared" si="594"/>
        <v>0</v>
      </c>
      <c r="J596" s="40">
        <f t="shared" si="594"/>
        <v>0</v>
      </c>
      <c r="K596" s="40">
        <f t="shared" ref="K596" si="595">SUM(K598:K601)</f>
        <v>0</v>
      </c>
      <c r="M596" s="30">
        <f>SUM(F596:K596)</f>
        <v>0</v>
      </c>
    </row>
    <row r="597" spans="1:13" hidden="1" outlineLevel="2">
      <c r="B597" s="6" t="str">
        <f ca="1">OFFSET(Язык!$A$283,0,LANGUAGE)</f>
        <v>доля в УК</v>
      </c>
    </row>
    <row r="598" spans="1:13" hidden="1" outlineLevel="2">
      <c r="A598" s="5" t="s">
        <v>959</v>
      </c>
      <c r="B598" s="77">
        <f>IF(M$596&gt;0,M598/M$596,1)</f>
        <v>1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M598" s="30">
        <f>SUM(F598:K598)</f>
        <v>0</v>
      </c>
    </row>
    <row r="599" spans="1:13" hidden="1" outlineLevel="2">
      <c r="A599" s="5" t="s">
        <v>960</v>
      </c>
      <c r="B599" s="77">
        <f>IF(M$596&gt;0,M599/M$596,0)</f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M599" s="30">
        <f>SUM(F599:K599)</f>
        <v>0</v>
      </c>
    </row>
    <row r="600" spans="1:13" hidden="1" outlineLevel="2">
      <c r="A600" s="5" t="s">
        <v>1990</v>
      </c>
      <c r="B600" s="77">
        <f>IF(M$596&gt;0,M600/M$596,0)</f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M600" s="30">
        <f>SUM(F600:K600)</f>
        <v>0</v>
      </c>
    </row>
    <row r="601" spans="1:13" hidden="1" outlineLevel="2">
      <c r="A601" s="5" t="s">
        <v>1991</v>
      </c>
      <c r="B601" s="77">
        <f>IF(M$596&gt;0,M601/M$596,0)</f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M601" s="30">
        <f>SUM(F601:K601)</f>
        <v>0</v>
      </c>
    </row>
    <row r="602" spans="1:13" hidden="1" outlineLevel="1"/>
    <row r="603" spans="1:13" hidden="1" outlineLevel="1">
      <c r="A603" s="2" t="str">
        <f ca="1">OFFSET(Язык!$A$284,0,LANGUAGE)</f>
        <v>Привилегированные акции</v>
      </c>
      <c r="B603" s="77" t="str">
        <f ca="1">OFFSET(Язык!$A$285,0,LANGUAGE)</f>
        <v>доходность:</v>
      </c>
      <c r="C603" s="5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M603" s="30">
        <f>SUM(F603:K603)</f>
        <v>0</v>
      </c>
    </row>
    <row r="604" spans="1:13" hidden="1" outlineLevel="1"/>
    <row r="605" spans="1:13" hidden="1" outlineLevel="1">
      <c r="A605" s="2" t="str">
        <f ca="1">OFFSET(Язык!$A$624,0,LANGUAGE)</f>
        <v>Целевое финансирование</v>
      </c>
      <c r="C605" s="6" t="str">
        <f ca="1">CUR_Main</f>
        <v>$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26"/>
      <c r="M605" s="30">
        <f>SUM(F605:K605)</f>
        <v>0</v>
      </c>
    </row>
    <row r="606" spans="1:13" hidden="1" outlineLevel="1"/>
    <row r="607" spans="1:13" hidden="1" outlineLevel="1">
      <c r="A607" s="37" t="str">
        <f ca="1">OFFSET(Язык!$A$621,0,LANGUAGE)</f>
        <v>Справка: Остаток средств на счете</v>
      </c>
      <c r="B607" s="29"/>
      <c r="C607" s="6" t="str">
        <f ca="1">CUR_Main</f>
        <v>$</v>
      </c>
      <c r="D607" s="37" t="s">
        <v>1736</v>
      </c>
      <c r="E607" s="37"/>
      <c r="F607" s="30">
        <f ca="1">F887*IF(CUR_I_Report=2,G$98,1)</f>
        <v>0</v>
      </c>
      <c r="G607" s="30">
        <f ca="1">G887*IF(CUR_I_Report=2,H$98,1)</f>
        <v>526044.88551587285</v>
      </c>
      <c r="H607" s="30">
        <f ca="1">H887*IF(CUR_I_Report=2,I$98,1)</f>
        <v>1001563.9031299604</v>
      </c>
      <c r="I607" s="30">
        <f ca="1">I887*IF(CUR_I_Report=2,J$98,1)</f>
        <v>1028977.1099295644</v>
      </c>
      <c r="J607" s="30">
        <f ca="1">J887*IF(CUR_I_Report=2,#REF!,1)</f>
        <v>1331733.6068466292</v>
      </c>
      <c r="K607" s="30">
        <f ca="1">K887*IF(CUR_I_Report=2,#REF!,1)</f>
        <v>2846086.3343929006</v>
      </c>
      <c r="L607" s="37"/>
      <c r="M607" s="37"/>
    </row>
    <row r="608" spans="1:13" hidden="1" outlineLevel="1">
      <c r="A608" s="159"/>
      <c r="B608" s="160"/>
      <c r="C608" s="160"/>
      <c r="D608" s="159"/>
      <c r="E608" s="159"/>
      <c r="F608" s="161"/>
      <c r="G608" s="161"/>
      <c r="H608" s="161"/>
      <c r="I608" s="161"/>
      <c r="J608" s="161"/>
      <c r="K608" s="161"/>
      <c r="L608" s="159"/>
      <c r="M608" s="159"/>
    </row>
    <row r="609" spans="1:13" ht="12" hidden="1" outlineLevel="1" thickBot="1"/>
    <row r="610" spans="1:13" ht="15.95" customHeight="1" thickTop="1" thickBot="1">
      <c r="A610" s="18" t="str">
        <f ca="1">OFFSET(Язык!$A$286,0,LANGUAGE)</f>
        <v>КРЕДИТЫ</v>
      </c>
      <c r="B610" s="23"/>
      <c r="C610" s="19"/>
      <c r="D610" s="18"/>
      <c r="E610" s="18"/>
      <c r="F610" s="19" t="str">
        <f t="shared" ref="F610:K610" si="596">PeriodTitle</f>
        <v>"0"</v>
      </c>
      <c r="G610" s="19">
        <f t="shared" si="596"/>
        <v>2013</v>
      </c>
      <c r="H610" s="19">
        <f t="shared" si="596"/>
        <v>2014</v>
      </c>
      <c r="I610" s="19">
        <f t="shared" si="596"/>
        <v>2015</v>
      </c>
      <c r="J610" s="19">
        <f t="shared" si="596"/>
        <v>2016</v>
      </c>
      <c r="K610" s="19">
        <f t="shared" si="596"/>
        <v>2017</v>
      </c>
      <c r="L610" s="19"/>
      <c r="M610" s="23" t="str">
        <f ca="1">OFFSET(Язык!$A$77,0,LANGUAGE)</f>
        <v>ИТОГО</v>
      </c>
    </row>
    <row r="611" spans="1:13" ht="12" outlineLevel="1" thickTop="1">
      <c r="E611" s="2">
        <v>1</v>
      </c>
    </row>
    <row r="612" spans="1:13" outlineLevel="1">
      <c r="A612" s="5" t="s">
        <v>2273</v>
      </c>
    </row>
    <row r="613" spans="1:13" outlineLevel="1">
      <c r="A613" s="2" t="str">
        <f ca="1">OFFSET(Язык!$A$287,0,LANGUAGE)</f>
        <v>Тип кредита</v>
      </c>
      <c r="B613" s="7">
        <v>2</v>
      </c>
      <c r="C613" s="61" t="str">
        <f ca="1">OFFSET(Язык!$A$28,B613-1,LANGUAGE)</f>
        <v>Инвестиционный</v>
      </c>
    </row>
    <row r="614" spans="1:13" outlineLevel="1">
      <c r="A614" s="2" t="str">
        <f ca="1">OFFSET(Язык!$A$288,0,LANGUAGE)</f>
        <v>Валюта кредита</v>
      </c>
      <c r="B614" s="7">
        <v>1</v>
      </c>
      <c r="C614" s="6" t="str">
        <f ca="1">CHOOSE(B614,CUR_Main,CUR_Foreign)</f>
        <v>$</v>
      </c>
    </row>
    <row r="615" spans="1:13" outlineLevel="1">
      <c r="A615" s="2" t="str">
        <f ca="1">OFFSET(Язык!$A$289,0,LANGUAGE)</f>
        <v>Годовая процентная ставка</v>
      </c>
      <c r="B615" s="50">
        <v>0.14000000000000001</v>
      </c>
      <c r="D615" s="2" t="s">
        <v>1748</v>
      </c>
      <c r="G615" s="74">
        <f>$B615</f>
        <v>0.14000000000000001</v>
      </c>
      <c r="H615" s="74">
        <f t="shared" ref="H615:K615" si="597">G615</f>
        <v>0.14000000000000001</v>
      </c>
      <c r="I615" s="74">
        <f t="shared" si="597"/>
        <v>0.14000000000000001</v>
      </c>
      <c r="J615" s="74">
        <f t="shared" si="597"/>
        <v>0.14000000000000001</v>
      </c>
      <c r="K615" s="74">
        <f t="shared" si="597"/>
        <v>0.14000000000000001</v>
      </c>
    </row>
    <row r="616" spans="1:13" outlineLevel="1">
      <c r="A616" s="2" t="str">
        <f ca="1">OFFSET(Язык!$A$290,0,LANGUAGE)</f>
        <v>Отсрочка выплаты процентов</v>
      </c>
      <c r="B616" s="7">
        <v>0</v>
      </c>
      <c r="C616" s="6" t="str">
        <f ca="1">PRJ_Step_SName</f>
        <v>лет</v>
      </c>
    </row>
    <row r="617" spans="1:13" outlineLevel="1">
      <c r="D617" s="2" t="s">
        <v>332</v>
      </c>
    </row>
    <row r="618" spans="1:13" outlineLevel="1">
      <c r="A618" s="2" t="str">
        <f ca="1">OFFSET(Язык!$A$291,0,LANGUAGE)</f>
        <v>Поступление денег от кредита</v>
      </c>
      <c r="C618" s="6" t="str">
        <f ca="1">CHOOSE(B614,CUR_Main,CUR_Foreign)</f>
        <v>$</v>
      </c>
      <c r="D618" s="2" t="str">
        <f>TEXT(B613,"0") &amp; "/" &amp; TEXT(B614,"0") &amp; "_01"</f>
        <v>2/1_01</v>
      </c>
      <c r="F618" s="40">
        <v>0</v>
      </c>
      <c r="G618" s="40">
        <v>2906000</v>
      </c>
      <c r="H618" s="40">
        <v>0</v>
      </c>
      <c r="I618" s="40">
        <v>0</v>
      </c>
      <c r="J618" s="40">
        <v>0</v>
      </c>
      <c r="K618" s="40">
        <v>0</v>
      </c>
      <c r="L618" s="26"/>
      <c r="M618" s="30">
        <f>SUM(F618:K618)</f>
        <v>2906000</v>
      </c>
    </row>
    <row r="619" spans="1:13" outlineLevel="1">
      <c r="A619" s="2" t="str">
        <f ca="1">OFFSET(Язык!$A$292,0,LANGUAGE)</f>
        <v>Погашение основного долга</v>
      </c>
      <c r="C619" s="6" t="str">
        <f ca="1">CHOOSE(B614,CUR_Main,CUR_Foreign)</f>
        <v>$</v>
      </c>
      <c r="D619" s="2" t="str">
        <f>TEXT(B613,"0") &amp; "/" &amp; TEXT(B614,"0")&amp;"_02"</f>
        <v>2/1_02</v>
      </c>
      <c r="F619" s="40">
        <v>0</v>
      </c>
      <c r="G619" s="40">
        <v>0</v>
      </c>
      <c r="H619" s="40">
        <v>970000</v>
      </c>
      <c r="I619" s="40">
        <v>970000</v>
      </c>
      <c r="J619" s="40">
        <v>966000</v>
      </c>
      <c r="K619" s="40"/>
      <c r="L619" s="26"/>
      <c r="M619" s="30">
        <f>SUM(F619:K619)</f>
        <v>2906000</v>
      </c>
    </row>
    <row r="620" spans="1:13" outlineLevel="1">
      <c r="A620" s="2" t="str">
        <f ca="1">OFFSET(Язык!$A$293,0,LANGUAGE)</f>
        <v>Выплаченные проценты</v>
      </c>
      <c r="C620" s="6" t="str">
        <f ca="1">CHOOSE(B614,CUR_Main,CUR_Foreign)</f>
        <v>$</v>
      </c>
      <c r="D620" s="2" t="str">
        <f>TEXT(B613,"0") &amp; "/" &amp; TEXT(B614,"0")&amp;"_03"</f>
        <v>2/1_03</v>
      </c>
      <c r="F620" s="26"/>
      <c r="G620" s="26">
        <f t="shared" ref="G620:K620" si="598">IF(G$27&gt;(G622+$B616),F621*G615*PRJ_Step/360,0)+G627</f>
        <v>0</v>
      </c>
      <c r="H620" s="26">
        <f t="shared" si="598"/>
        <v>406840.00000000006</v>
      </c>
      <c r="I620" s="26">
        <f t="shared" si="598"/>
        <v>271040</v>
      </c>
      <c r="J620" s="26">
        <f t="shared" si="598"/>
        <v>135240</v>
      </c>
      <c r="K620" s="26">
        <f t="shared" si="598"/>
        <v>0</v>
      </c>
      <c r="L620" s="26"/>
      <c r="M620" s="30">
        <f>SUM(F620:K620)</f>
        <v>813120</v>
      </c>
    </row>
    <row r="621" spans="1:13" outlineLevel="1" collapsed="1">
      <c r="A621" s="2" t="str">
        <f ca="1">OFFSET(Язык!$A$294,0,LANGUAGE)</f>
        <v>Задолженность на конец текущего периода</v>
      </c>
      <c r="C621" s="6" t="str">
        <f ca="1">CHOOSE(B614,CUR_Main,CUR_Foreign)</f>
        <v>$</v>
      </c>
      <c r="D621" s="2" t="str">
        <f>TEXT(B613,"0") &amp; "/" &amp; TEXT(B614,"0")&amp;"_04"&amp;";int_end"</f>
        <v>2/1_04;int_end</v>
      </c>
      <c r="F621" s="26">
        <f t="shared" ref="F621:K621" si="599">E621+F618-F619</f>
        <v>0</v>
      </c>
      <c r="G621" s="26">
        <f t="shared" si="599"/>
        <v>2906000</v>
      </c>
      <c r="H621" s="26">
        <f t="shared" si="599"/>
        <v>1936000</v>
      </c>
      <c r="I621" s="26">
        <f t="shared" si="599"/>
        <v>966000</v>
      </c>
      <c r="J621" s="26">
        <f t="shared" si="599"/>
        <v>0</v>
      </c>
      <c r="K621" s="26">
        <f t="shared" si="599"/>
        <v>0</v>
      </c>
      <c r="L621" s="26"/>
      <c r="M621" s="26"/>
    </row>
    <row r="622" spans="1:13" hidden="1" outlineLevel="2">
      <c r="A622" s="2" t="str">
        <f ca="1">OFFSET(Язык!$A$295,0,LANGUAGE)</f>
        <v xml:space="preserve">    интервал, в котором впервые взят  кредит</v>
      </c>
      <c r="D622" s="2" t="str">
        <f>TEXT(B613,"0") &amp; "/" &amp; TEXT(B614,"0")&amp;"_05"&amp;";int_end"</f>
        <v>2/1_05;int_end</v>
      </c>
      <c r="F622" s="26">
        <f>IF(AND(E622=0,F618&lt;&gt;0,SUM($E618:E618)=0),F$27,E622)</f>
        <v>0</v>
      </c>
      <c r="G622" s="26">
        <f>IF(AND(F622=0,G618&lt;&gt;0,SUM($E618:F618)=0),G$27,F622)</f>
        <v>1</v>
      </c>
      <c r="H622" s="26">
        <f>IF(AND(G622=0,H618&lt;&gt;0,SUM($E618:G618)=0),H$27,G622)</f>
        <v>1</v>
      </c>
      <c r="I622" s="26">
        <f>IF(AND(H622=0,I618&lt;&gt;0,SUM($E618:H618)=0),I$27,H622)</f>
        <v>1</v>
      </c>
      <c r="J622" s="26">
        <f>IF(AND(I622=0,J618&lt;&gt;0,SUM($E618:I618)=0),J$27,I622)</f>
        <v>1</v>
      </c>
      <c r="K622" s="26">
        <f>IF(AND(J622=0,K618&lt;&gt;0,SUM($E618:J618)=0),K$27,J622)</f>
        <v>1</v>
      </c>
      <c r="L622" s="26"/>
      <c r="M622" s="26"/>
    </row>
    <row r="623" spans="1:13" hidden="1" outlineLevel="2">
      <c r="A623" s="2" t="str">
        <f ca="1">OFFSET(Язык!$A$296,0,LANGUAGE)</f>
        <v xml:space="preserve">    проценты, выплачиваемые из прибыли</v>
      </c>
      <c r="C623" s="6" t="str">
        <f ca="1">CHOOSE(B614,CUR_Main,CUR_Foreign)</f>
        <v>$</v>
      </c>
      <c r="D623" s="2" t="str">
        <f>TEXT(B613,"0") &amp; "/" &amp; TEXT(B614,"0")&amp;"_06"</f>
        <v>2/1_06</v>
      </c>
      <c r="F623" s="26"/>
      <c r="G623" s="26">
        <f t="shared" ref="G623:K623" si="600">IF(G$27&gt;(G622+$B616),F621*MAX((G615-IF($B614=1,G$109,G$110))*PRJ_Step/360,0),0)</f>
        <v>0</v>
      </c>
      <c r="H623" s="26">
        <f t="shared" si="600"/>
        <v>0</v>
      </c>
      <c r="I623" s="26">
        <f t="shared" si="600"/>
        <v>0</v>
      </c>
      <c r="J623" s="26">
        <f t="shared" si="600"/>
        <v>0</v>
      </c>
      <c r="K623" s="26">
        <f t="shared" si="600"/>
        <v>0</v>
      </c>
      <c r="L623" s="26"/>
      <c r="M623" s="30">
        <f>SUM(F623:K623)</f>
        <v>0</v>
      </c>
    </row>
    <row r="624" spans="1:13" hidden="1" outlineLevel="2">
      <c r="A624" s="2" t="str">
        <f ca="1">OFFSET(Язык!$A$852,0,LANGUAGE)</f>
        <v xml:space="preserve">    проценты начисленные</v>
      </c>
      <c r="C624" s="6" t="str">
        <f ca="1">CHOOSE(B614,CUR_Main,CUR_Foreign)</f>
        <v>$</v>
      </c>
      <c r="D624" s="2" t="str">
        <f>TEXT(B613,"0") &amp; "/" &amp; TEXT(B614,"0")&amp;"_07"</f>
        <v>2/1_07</v>
      </c>
      <c r="F624" s="26"/>
      <c r="G624" s="26">
        <f t="shared" ref="G624:K624" si="601">F621*G615*PRJ_Step/360</f>
        <v>0</v>
      </c>
      <c r="H624" s="26">
        <f t="shared" si="601"/>
        <v>406840.00000000006</v>
      </c>
      <c r="I624" s="26">
        <f t="shared" si="601"/>
        <v>271040</v>
      </c>
      <c r="J624" s="26">
        <f t="shared" si="601"/>
        <v>135240</v>
      </c>
      <c r="K624" s="26">
        <f t="shared" si="601"/>
        <v>0</v>
      </c>
      <c r="L624" s="26"/>
      <c r="M624" s="30">
        <f>SUM(F624:K624)</f>
        <v>813120</v>
      </c>
    </row>
    <row r="625" spans="1:13" hidden="1" outlineLevel="2">
      <c r="A625" s="2" t="str">
        <f ca="1">OFFSET(Язык!$A$853,0,LANGUAGE)</f>
        <v xml:space="preserve">    задолженность по процентам</v>
      </c>
      <c r="C625" s="6" t="str">
        <f ca="1">CHOOSE(B614,CUR_Main,CUR_Foreign)</f>
        <v>$</v>
      </c>
      <c r="D625" s="2" t="str">
        <f>TEXT(B613,"0") &amp; "/" &amp; TEXT(B614,"0")&amp;"_08"&amp;";int_end"</f>
        <v>2/1_08;int_end</v>
      </c>
      <c r="F625" s="26"/>
      <c r="G625" s="26">
        <f>SUM($F624:G624)-SUM($F620:G620)</f>
        <v>0</v>
      </c>
      <c r="H625" s="26">
        <f>SUM($F624:H624)-SUM($F620:H620)</f>
        <v>0</v>
      </c>
      <c r="I625" s="26">
        <f>SUM($F624:I624)-SUM($F620:I620)</f>
        <v>0</v>
      </c>
      <c r="J625" s="26">
        <f>SUM($F624:J624)-SUM($F620:J620)</f>
        <v>0</v>
      </c>
      <c r="K625" s="26">
        <f>SUM($F624:K624)-SUM($F620:K620)</f>
        <v>0</v>
      </c>
      <c r="L625" s="26"/>
      <c r="M625" s="26"/>
    </row>
    <row r="626" spans="1:13" hidden="1" outlineLevel="2">
      <c r="A626" s="2" t="str">
        <f ca="1">OFFSET(Язык!$A$854,0,LANGUAGE)</f>
        <v xml:space="preserve">    интервал, в котором завершена выплата кредита</v>
      </c>
      <c r="D626" s="2" t="str">
        <f>TEXT(B613,"0") &amp; "/" &amp; TEXT(B614,"0")&amp;"_09"</f>
        <v>2/1_09</v>
      </c>
      <c r="F626" s="26"/>
      <c r="G626" s="26">
        <f>IF(AND(F626=0,G619&lt;&gt;0,SUM($F618:G618)&lt;=SUM($F619:G619)),G$27,F626)</f>
        <v>0</v>
      </c>
      <c r="H626" s="26">
        <f>IF(AND(G626=0,H619&lt;&gt;0,SUM($F618:H618)&lt;=SUM($F619:H619)),H$27,G626)</f>
        <v>0</v>
      </c>
      <c r="I626" s="26">
        <f>IF(AND(H626=0,I619&lt;&gt;0,SUM($F618:I618)&lt;=SUM($F619:I619)),I$27,H626)</f>
        <v>0</v>
      </c>
      <c r="J626" s="26">
        <f>IF(AND(I626=0,J619&lt;&gt;0,SUM($F618:J618)&lt;=SUM($F619:J619)),J$27,I626)</f>
        <v>4</v>
      </c>
      <c r="K626" s="26">
        <f>IF(AND(J626=0,K619&lt;&gt;0,SUM($F618:K618)&lt;=SUM($F619:K619)),K$27,J626)</f>
        <v>4</v>
      </c>
      <c r="L626" s="26"/>
      <c r="M626" s="30">
        <f>MAX(G626:K626)</f>
        <v>4</v>
      </c>
    </row>
    <row r="627" spans="1:13" hidden="1" outlineLevel="2">
      <c r="A627" s="2" t="str">
        <f ca="1">OFFSET(Язык!$A$855,0,LANGUAGE)</f>
        <v xml:space="preserve">    погашение задолженности по процентам</v>
      </c>
      <c r="C627" s="6" t="str">
        <f ca="1">CHOOSE(B614,CUR_Main,CUR_Foreign)</f>
        <v>$</v>
      </c>
      <c r="D627" s="2" t="str">
        <f>TEXT(B613,"0") &amp; "/" &amp; TEXT(B614,"0")&amp;"_10"</f>
        <v>2/1_10</v>
      </c>
      <c r="F627" s="26"/>
      <c r="G627" s="26">
        <f>IF(AND(G$27&gt;(G622+$B616),($M626-G$27+1)&gt;0),F625/($M626-G$27+1),0)</f>
        <v>0</v>
      </c>
      <c r="H627" s="26">
        <f>IF(AND(H$27&gt;(H622+$B616),($M626-H$27+1)&gt;0),G625/($M626-H$27+1),0)</f>
        <v>0</v>
      </c>
      <c r="I627" s="26">
        <f>IF(AND(I$27&gt;(I622+$B616),($M626-I$27+1)&gt;0),H625/($M626-I$27+1),0)</f>
        <v>0</v>
      </c>
      <c r="J627" s="26">
        <f>IF(AND(J$27&gt;(J622+$B616),($M626-J$27+1)&gt;0),I625/($M626-J$27+1),0)</f>
        <v>0</v>
      </c>
      <c r="K627" s="26">
        <f>IF(AND(K$27&gt;(K622+$B616),($M626-K$27+1)&gt;0),J625/($M626-K$27+1),0)</f>
        <v>0</v>
      </c>
      <c r="L627" s="26"/>
      <c r="M627" s="30">
        <f>SUM(F627:K627)</f>
        <v>0</v>
      </c>
    </row>
    <row r="628" spans="1:13" outlineLevel="1"/>
    <row r="629" spans="1:13" outlineLevel="1">
      <c r="A629" s="32" t="str">
        <f ca="1">OFFSET(Язык!$A$297,0,LANGUAGE)</f>
        <v xml:space="preserve"> = Итого: Поступления от кредитов</v>
      </c>
      <c r="C629" s="6" t="str">
        <f t="shared" ref="C629:C637" ca="1" si="602">CUR_Main</f>
        <v>$</v>
      </c>
      <c r="F629" s="62">
        <f t="shared" ref="F629:J629" si="603">SUMIF($D611:$D628,"*1_01*",F611:F628)+SUMIF($D611:$D628,"*2_01*",F611:F628)*F$98</f>
        <v>0</v>
      </c>
      <c r="G629" s="62">
        <f t="shared" si="603"/>
        <v>2906000</v>
      </c>
      <c r="H629" s="62">
        <f t="shared" si="603"/>
        <v>0</v>
      </c>
      <c r="I629" s="62">
        <f t="shared" si="603"/>
        <v>0</v>
      </c>
      <c r="J629" s="62">
        <f t="shared" si="603"/>
        <v>0</v>
      </c>
      <c r="K629" s="62">
        <f t="shared" ref="K629" si="604">SUMIF($D611:$D628,"*1_01*",K611:K628)+SUMIF($D611:$D628,"*2_01*",K611:K628)*K$98</f>
        <v>0</v>
      </c>
      <c r="L629" s="62"/>
      <c r="M629" s="27">
        <f t="shared" ref="M629:M634" si="605">SUM(F629:K629)</f>
        <v>2906000</v>
      </c>
    </row>
    <row r="630" spans="1:13" outlineLevel="1">
      <c r="A630" s="32" t="str">
        <f ca="1">OFFSET(Язык!$A$298,0,LANGUAGE)</f>
        <v xml:space="preserve"> = Итого: Погашение кредитов</v>
      </c>
      <c r="C630" s="6" t="str">
        <f t="shared" ca="1" si="602"/>
        <v>$</v>
      </c>
      <c r="F630" s="62">
        <f t="shared" ref="F630:J630" si="606">SUMIF($D611:$D628,"*1_02*",F611:F628)+SUMIF($D611:$D628,"*2_02*",F611:F628)*F$98</f>
        <v>0</v>
      </c>
      <c r="G630" s="62">
        <f t="shared" si="606"/>
        <v>0</v>
      </c>
      <c r="H630" s="62">
        <f t="shared" si="606"/>
        <v>970000</v>
      </c>
      <c r="I630" s="62">
        <f t="shared" si="606"/>
        <v>970000</v>
      </c>
      <c r="J630" s="62">
        <f t="shared" si="606"/>
        <v>966000</v>
      </c>
      <c r="K630" s="62">
        <f t="shared" ref="K630" si="607">SUMIF($D611:$D628,"*1_02*",K611:K628)+SUMIF($D611:$D628,"*2_02*",K611:K628)*K$98</f>
        <v>0</v>
      </c>
      <c r="L630" s="62"/>
      <c r="M630" s="27">
        <f t="shared" si="605"/>
        <v>2906000</v>
      </c>
    </row>
    <row r="631" spans="1:13" outlineLevel="1" collapsed="1">
      <c r="A631" s="32" t="str">
        <f ca="1">OFFSET(Язык!$A$299,0,LANGUAGE)</f>
        <v xml:space="preserve"> = Итого: Выплата процентов</v>
      </c>
      <c r="C631" s="6" t="str">
        <f t="shared" ca="1" si="602"/>
        <v>$</v>
      </c>
      <c r="F631" s="72">
        <f t="shared" ref="F631:J631" si="608">SUMIF($D611:$D628,"*1_03*",F611:F628)+SUMIF($D611:$D628,"*2_03*",F611:F628)*F$98</f>
        <v>0</v>
      </c>
      <c r="G631" s="72">
        <f t="shared" si="608"/>
        <v>0</v>
      </c>
      <c r="H631" s="72">
        <f t="shared" si="608"/>
        <v>406840.00000000006</v>
      </c>
      <c r="I631" s="72">
        <f t="shared" si="608"/>
        <v>271040</v>
      </c>
      <c r="J631" s="72">
        <f t="shared" si="608"/>
        <v>135240</v>
      </c>
      <c r="K631" s="72">
        <f t="shared" ref="K631" si="609">SUMIF($D611:$D628,"*1_03*",K611:K628)+SUMIF($D611:$D628,"*2_03*",K611:K628)*K$98</f>
        <v>0</v>
      </c>
      <c r="L631" s="62"/>
      <c r="M631" s="27">
        <f t="shared" si="605"/>
        <v>813120</v>
      </c>
    </row>
    <row r="632" spans="1:13" hidden="1" outlineLevel="2">
      <c r="A632" s="2" t="str">
        <f ca="1">OFFSET(Язык!$A$300,0,LANGUAGE)</f>
        <v xml:space="preserve">    проценты, выплачиваемые из прибыли</v>
      </c>
      <c r="C632" s="6" t="str">
        <f t="shared" ca="1" si="602"/>
        <v>$</v>
      </c>
      <c r="F632" s="26">
        <f t="shared" ref="F632:J632" si="610">SUMIF($D611:$D628,"*1_06*",F611:F628)+SUMIF($D611:$D628,"*2_06*",F611:F628)*F$98</f>
        <v>0</v>
      </c>
      <c r="G632" s="26">
        <f t="shared" si="610"/>
        <v>0</v>
      </c>
      <c r="H632" s="26">
        <f t="shared" si="610"/>
        <v>0</v>
      </c>
      <c r="I632" s="26">
        <f t="shared" si="610"/>
        <v>0</v>
      </c>
      <c r="J632" s="26">
        <f t="shared" si="610"/>
        <v>0</v>
      </c>
      <c r="K632" s="26">
        <f t="shared" ref="K632" si="611">SUMIF($D611:$D628,"*1_06*",K611:K628)+SUMIF($D611:$D628,"*2_06*",K611:K628)*K$98</f>
        <v>0</v>
      </c>
      <c r="M632" s="30">
        <f t="shared" si="605"/>
        <v>0</v>
      </c>
    </row>
    <row r="633" spans="1:13" hidden="1" outlineLevel="2">
      <c r="A633" s="2" t="str">
        <f ca="1">OFFSET(Язык!$A$852,0,LANGUAGE)</f>
        <v xml:space="preserve">    проценты начисленные</v>
      </c>
      <c r="C633" s="6" t="str">
        <f t="shared" ca="1" si="602"/>
        <v>$</v>
      </c>
      <c r="F633" s="26">
        <f t="shared" ref="F633:J633" si="612">SUMIF($D611:$D628,"*1_07*",F611:F628)+SUMIF($D611:$D628,"*2_07*",F611:F628)*F$98</f>
        <v>0</v>
      </c>
      <c r="G633" s="26">
        <f t="shared" si="612"/>
        <v>0</v>
      </c>
      <c r="H633" s="26">
        <f t="shared" si="612"/>
        <v>406840.00000000006</v>
      </c>
      <c r="I633" s="26">
        <f t="shared" si="612"/>
        <v>271040</v>
      </c>
      <c r="J633" s="26">
        <f t="shared" si="612"/>
        <v>135240</v>
      </c>
      <c r="K633" s="26">
        <f t="shared" ref="K633" si="613">SUMIF($D611:$D628,"*1_07*",K611:K628)+SUMIF($D611:$D628,"*2_07*",K611:K628)*K$98</f>
        <v>0</v>
      </c>
      <c r="M633" s="30">
        <f t="shared" si="605"/>
        <v>813120</v>
      </c>
    </row>
    <row r="634" spans="1:13" hidden="1" outlineLevel="2">
      <c r="A634" s="2" t="str">
        <f ca="1">OFFSET(Язык!$A$866,0,LANGUAGE)</f>
        <v xml:space="preserve">        в том числе по хозяйственным кредитам</v>
      </c>
      <c r="C634" s="6" t="str">
        <f t="shared" ca="1" si="602"/>
        <v>$</v>
      </c>
      <c r="F634" s="26">
        <f t="shared" ref="F634:J634" si="614">SUMIF($D611:$D628,"*1/1_07*",F611:F628)+SUMIF($D611:$D628,"*1/2_07*",F611:F628)*F$98</f>
        <v>0</v>
      </c>
      <c r="G634" s="26">
        <f t="shared" si="614"/>
        <v>0</v>
      </c>
      <c r="H634" s="26">
        <f t="shared" si="614"/>
        <v>0</v>
      </c>
      <c r="I634" s="26">
        <f t="shared" si="614"/>
        <v>0</v>
      </c>
      <c r="J634" s="26">
        <f t="shared" si="614"/>
        <v>0</v>
      </c>
      <c r="K634" s="26">
        <f t="shared" ref="K634" si="615">SUMIF($D611:$D628,"*1/1_07*",K611:K628)+SUMIF($D611:$D628,"*1/2_07*",K611:K628)*K$98</f>
        <v>0</v>
      </c>
      <c r="M634" s="30">
        <f t="shared" si="605"/>
        <v>0</v>
      </c>
    </row>
    <row r="635" spans="1:13" outlineLevel="1" collapsed="1">
      <c r="A635" s="32" t="str">
        <f ca="1">OFFSET(Язык!$A$301,0,LANGUAGE)</f>
        <v xml:space="preserve"> = Итого: Задолженность по кредитам</v>
      </c>
      <c r="C635" s="6" t="str">
        <f t="shared" ca="1" si="602"/>
        <v>$</v>
      </c>
      <c r="D635" s="2" t="s">
        <v>1736</v>
      </c>
      <c r="F635" s="62">
        <f t="shared" ref="F635:J635" si="616">SUMIF($D611:$D628,"*1_04*",F611:F628)+SUMIF($D611:$D628,"*2_04*",F611:F628)*F$98+F638</f>
        <v>0</v>
      </c>
      <c r="G635" s="62">
        <f t="shared" si="616"/>
        <v>2906000</v>
      </c>
      <c r="H635" s="62">
        <f t="shared" si="616"/>
        <v>1936000</v>
      </c>
      <c r="I635" s="62">
        <f t="shared" si="616"/>
        <v>966000</v>
      </c>
      <c r="J635" s="62">
        <f t="shared" si="616"/>
        <v>0</v>
      </c>
      <c r="K635" s="62">
        <f t="shared" ref="K635" si="617">SUMIF($D611:$D628,"*1_04*",K611:K628)+SUMIF($D611:$D628,"*2_04*",K611:K628)*K$98+K638</f>
        <v>0</v>
      </c>
      <c r="L635" s="26"/>
      <c r="M635" s="26"/>
    </row>
    <row r="636" spans="1:13" hidden="1" outlineLevel="2">
      <c r="A636" s="2" t="str">
        <f ca="1">OFFSET(Язык!$A$302,0,LANGUAGE)</f>
        <v xml:space="preserve">    задолженность по хозяйственным кредитам</v>
      </c>
      <c r="C636" s="6" t="str">
        <f t="shared" ca="1" si="602"/>
        <v>$</v>
      </c>
      <c r="D636" s="2" t="s">
        <v>1736</v>
      </c>
      <c r="F636" s="26">
        <f t="shared" ref="F636:J636" si="618">SUMIF($D611:$D628,"*1/1_04*",F611:F628)+SUMIF($D611:$D628,"*1/2_04*",F611:F628)*F$98</f>
        <v>0</v>
      </c>
      <c r="G636" s="26">
        <f t="shared" si="618"/>
        <v>0</v>
      </c>
      <c r="H636" s="26">
        <f t="shared" si="618"/>
        <v>0</v>
      </c>
      <c r="I636" s="26">
        <f t="shared" si="618"/>
        <v>0</v>
      </c>
      <c r="J636" s="26">
        <f t="shared" si="618"/>
        <v>0</v>
      </c>
      <c r="K636" s="26">
        <f t="shared" ref="K636" si="619">SUMIF($D611:$D628,"*1/1_04*",K611:K628)+SUMIF($D611:$D628,"*1/2_04*",K611:K628)*K$98</f>
        <v>0</v>
      </c>
      <c r="L636" s="26"/>
      <c r="M636" s="26"/>
    </row>
    <row r="637" spans="1:13" hidden="1" outlineLevel="2">
      <c r="A637" s="2" t="str">
        <f ca="1">OFFSET(Язык!$A$303,0,LANGUAGE)</f>
        <v xml:space="preserve">    задолженность по инвестиционным кредитам</v>
      </c>
      <c r="C637" s="6" t="str">
        <f t="shared" ca="1" si="602"/>
        <v>$</v>
      </c>
      <c r="D637" s="2" t="s">
        <v>1736</v>
      </c>
      <c r="F637" s="26">
        <f t="shared" ref="F637:J637" si="620">F635-F636</f>
        <v>0</v>
      </c>
      <c r="G637" s="26">
        <f t="shared" si="620"/>
        <v>2906000</v>
      </c>
      <c r="H637" s="26">
        <f t="shared" si="620"/>
        <v>1936000</v>
      </c>
      <c r="I637" s="26">
        <f t="shared" si="620"/>
        <v>966000</v>
      </c>
      <c r="J637" s="26">
        <f t="shared" si="620"/>
        <v>0</v>
      </c>
      <c r="K637" s="26">
        <f t="shared" ref="K637" si="621">K635-K636</f>
        <v>0</v>
      </c>
      <c r="L637" s="26"/>
      <c r="M637" s="26"/>
    </row>
    <row r="638" spans="1:13" hidden="1" outlineLevel="2">
      <c r="A638" s="2" t="str">
        <f ca="1">OFFSET(Язык!$A$853,0,LANGUAGE)</f>
        <v xml:space="preserve">    задолженность по процентам</v>
      </c>
      <c r="F638" s="26">
        <f t="shared" ref="F638:J638" si="622">SUMIF($D611:$D628,"*1_08*",F611:F628)+SUMIF($D611:$D628,"*2_08*",F611:F628)*F$98</f>
        <v>0</v>
      </c>
      <c r="G638" s="26">
        <f t="shared" si="622"/>
        <v>0</v>
      </c>
      <c r="H638" s="26">
        <f t="shared" si="622"/>
        <v>0</v>
      </c>
      <c r="I638" s="26">
        <f t="shared" si="622"/>
        <v>0</v>
      </c>
      <c r="J638" s="26">
        <f t="shared" si="622"/>
        <v>0</v>
      </c>
      <c r="K638" s="26">
        <f t="shared" ref="K638" si="623">SUMIF($D611:$D628,"*1_08*",K611:K628)+SUMIF($D611:$D628,"*2_08*",K611:K628)*K$98</f>
        <v>0</v>
      </c>
      <c r="L638" s="26"/>
      <c r="M638" s="26"/>
    </row>
    <row r="639" spans="1:13" outlineLevel="1">
      <c r="B639" s="2"/>
      <c r="C639" s="2"/>
    </row>
    <row r="640" spans="1:13" outlineLevel="1">
      <c r="A640" s="37" t="str">
        <f ca="1">OFFSET(Язык!$A$621,0,LANGUAGE)</f>
        <v>Справка: Остаток средств на счете</v>
      </c>
      <c r="B640" s="2"/>
      <c r="C640" s="6" t="str">
        <f ca="1">CUR_Main</f>
        <v>$</v>
      </c>
      <c r="D640" s="2" t="s">
        <v>1736</v>
      </c>
      <c r="F640" s="30">
        <f ca="1">F887*IF(CUR_I_Report=2,G$98,1)</f>
        <v>0</v>
      </c>
      <c r="G640" s="30">
        <f ca="1">G887*IF(CUR_I_Report=2,H$98,1)</f>
        <v>526044.88551587285</v>
      </c>
      <c r="H640" s="30">
        <f ca="1">H887*IF(CUR_I_Report=2,I$98,1)</f>
        <v>1001563.9031299604</v>
      </c>
      <c r="I640" s="30">
        <f ca="1">I887*IF(CUR_I_Report=2,J$98,1)</f>
        <v>1028977.1099295644</v>
      </c>
      <c r="J640" s="30">
        <f ca="1">J887*IF(CUR_I_Report=2,#REF!,1)</f>
        <v>1331733.6068466292</v>
      </c>
      <c r="K640" s="30">
        <f ca="1">K887*IF(CUR_I_Report=2,#REF!,1)</f>
        <v>2846086.3343929006</v>
      </c>
    </row>
    <row r="641" spans="1:13" outlineLevel="1">
      <c r="A641" s="159"/>
      <c r="B641" s="68"/>
      <c r="C641" s="67"/>
      <c r="D641" s="68"/>
      <c r="E641" s="68"/>
      <c r="F641" s="161"/>
      <c r="G641" s="161"/>
      <c r="H641" s="161"/>
      <c r="I641" s="161"/>
      <c r="J641" s="161"/>
      <c r="K641" s="161"/>
      <c r="L641" s="68"/>
      <c r="M641" s="68"/>
    </row>
    <row r="642" spans="1:13" ht="12" outlineLevel="1" thickBot="1"/>
    <row r="643" spans="1:13" ht="15.95" customHeight="1" thickTop="1" thickBot="1">
      <c r="A643" s="18" t="str">
        <f ca="1">OFFSET(Язык!$A$625,0,LANGUAGE)</f>
        <v>СВОДНЫЙ ОТЧЕТ ОБ ИНВЕСТИЦИЯХ В ПРОЕКТ</v>
      </c>
      <c r="B643" s="23"/>
      <c r="C643" s="19"/>
      <c r="D643" s="18"/>
      <c r="E643" s="18"/>
      <c r="F643" s="19" t="str">
        <f t="shared" ref="F643:K643" si="624">PeriodTitle</f>
        <v>"0"</v>
      </c>
      <c r="G643" s="19">
        <f t="shared" si="624"/>
        <v>2013</v>
      </c>
      <c r="H643" s="19">
        <f t="shared" si="624"/>
        <v>2014</v>
      </c>
      <c r="I643" s="19">
        <f t="shared" si="624"/>
        <v>2015</v>
      </c>
      <c r="J643" s="19">
        <f t="shared" si="624"/>
        <v>2016</v>
      </c>
      <c r="K643" s="19">
        <f t="shared" si="624"/>
        <v>2017</v>
      </c>
      <c r="L643" s="19"/>
      <c r="M643" s="23" t="str">
        <f ca="1">OFFSET(Язык!$A$77,0,LANGUAGE)</f>
        <v>ИТОГО</v>
      </c>
    </row>
    <row r="644" spans="1:13" ht="12" outlineLevel="1" thickTop="1"/>
    <row r="645" spans="1:13" outlineLevel="1">
      <c r="A645" s="32" t="str">
        <f ca="1">OFFSET(Язык!$A$656,0,LANGUAGE)</f>
        <v>Потребность в инвестициях:</v>
      </c>
      <c r="C645" s="6" t="str">
        <f ca="1">CUR_Main</f>
        <v>$</v>
      </c>
      <c r="F645" s="62">
        <f t="shared" ref="F645:J645" si="625">SUM(F647:F650)</f>
        <v>0</v>
      </c>
      <c r="G645" s="62">
        <f t="shared" ca="1" si="625"/>
        <v>2821370.3430555556</v>
      </c>
      <c r="H645" s="62">
        <f t="shared" ca="1" si="625"/>
        <v>-42207.909756944544</v>
      </c>
      <c r="I645" s="62">
        <f t="shared" ca="1" si="625"/>
        <v>-12520.968371031806</v>
      </c>
      <c r="J645" s="62">
        <f t="shared" ca="1" si="625"/>
        <v>-52013.98071706359</v>
      </c>
      <c r="K645" s="62">
        <f t="shared" ref="K645" ca="1" si="626">SUM(K647:K650)</f>
        <v>-54420.743654841237</v>
      </c>
      <c r="L645" s="62"/>
      <c r="M645" s="27">
        <f ca="1">SUM(F645:K645)</f>
        <v>2660206.7405556748</v>
      </c>
    </row>
    <row r="646" spans="1:13" outlineLevel="1"/>
    <row r="647" spans="1:13" outlineLevel="1">
      <c r="A647" s="2" t="str">
        <f ca="1">OFFSET(Язык!$A$432,0,LANGUAGE)</f>
        <v>Инвестиции в здания и сооружения</v>
      </c>
      <c r="C647" s="6" t="str">
        <f ca="1">CUR_Main</f>
        <v>$</v>
      </c>
      <c r="F647" s="26">
        <f t="shared" ref="F647:J647" si="627">F461</f>
        <v>0</v>
      </c>
      <c r="G647" s="26">
        <f t="shared" si="627"/>
        <v>1609900</v>
      </c>
      <c r="H647" s="26">
        <f t="shared" si="627"/>
        <v>0</v>
      </c>
      <c r="I647" s="26">
        <f t="shared" si="627"/>
        <v>0</v>
      </c>
      <c r="J647" s="26">
        <f t="shared" si="627"/>
        <v>0</v>
      </c>
      <c r="K647" s="26">
        <f t="shared" ref="K647" si="628">K461</f>
        <v>0</v>
      </c>
      <c r="L647" s="26"/>
      <c r="M647" s="30">
        <f>SUM(F647:K647)</f>
        <v>1609900</v>
      </c>
    </row>
    <row r="648" spans="1:13" outlineLevel="1">
      <c r="A648" s="2" t="str">
        <f ca="1">OFFSET(Язык!$A$433,0,LANGUAGE)</f>
        <v>Инвестиции в оборудование и другие активы</v>
      </c>
      <c r="C648" s="6" t="str">
        <f ca="1">CUR_Main</f>
        <v>$</v>
      </c>
      <c r="F648" s="26">
        <f t="shared" ref="F648:J648" si="629">F473</f>
        <v>0</v>
      </c>
      <c r="G648" s="26">
        <f t="shared" si="629"/>
        <v>1296100</v>
      </c>
      <c r="H648" s="26">
        <f t="shared" si="629"/>
        <v>0</v>
      </c>
      <c r="I648" s="26">
        <f t="shared" si="629"/>
        <v>0</v>
      </c>
      <c r="J648" s="26">
        <f t="shared" si="629"/>
        <v>0</v>
      </c>
      <c r="K648" s="26">
        <f t="shared" ref="K648" si="630">K473</f>
        <v>0</v>
      </c>
      <c r="L648" s="26"/>
      <c r="M648" s="30">
        <f>SUM(F648:K648)</f>
        <v>1296100</v>
      </c>
    </row>
    <row r="649" spans="1:13" outlineLevel="1">
      <c r="A649" s="2" t="str">
        <f ca="1">OFFSET(Язык!$A$434,0,LANGUAGE)</f>
        <v>Оплата расходов будущих периодов</v>
      </c>
      <c r="C649" s="6" t="str">
        <f ca="1">CUR_Main</f>
        <v>$</v>
      </c>
      <c r="F649" s="26">
        <f t="shared" ref="F649:J649" si="631">F486</f>
        <v>0</v>
      </c>
      <c r="G649" s="26">
        <f t="shared" si="631"/>
        <v>0</v>
      </c>
      <c r="H649" s="26">
        <f t="shared" si="631"/>
        <v>0</v>
      </c>
      <c r="I649" s="26">
        <f t="shared" si="631"/>
        <v>0</v>
      </c>
      <c r="J649" s="26">
        <f t="shared" si="631"/>
        <v>0</v>
      </c>
      <c r="K649" s="26">
        <f t="shared" ref="K649" si="632">K486</f>
        <v>0</v>
      </c>
      <c r="L649" s="26"/>
      <c r="M649" s="30">
        <f>SUM(F649:K649)</f>
        <v>0</v>
      </c>
    </row>
    <row r="650" spans="1:13" outlineLevel="1">
      <c r="A650" s="2" t="str">
        <f ca="1">OFFSET(Язык!$A$435,0,LANGUAGE)</f>
        <v>Инвестиции в оборотный капитал</v>
      </c>
      <c r="C650" s="6" t="str">
        <f ca="1">CUR_Main</f>
        <v>$</v>
      </c>
      <c r="F650" s="26">
        <f t="shared" ref="F650:J650" si="633">F591</f>
        <v>0</v>
      </c>
      <c r="G650" s="26">
        <f t="shared" ca="1" si="633"/>
        <v>-84629.656944444461</v>
      </c>
      <c r="H650" s="26">
        <f t="shared" ca="1" si="633"/>
        <v>-42207.909756944544</v>
      </c>
      <c r="I650" s="26">
        <f t="shared" ca="1" si="633"/>
        <v>-12520.968371031806</v>
      </c>
      <c r="J650" s="26">
        <f t="shared" ca="1" si="633"/>
        <v>-52013.98071706359</v>
      </c>
      <c r="K650" s="26">
        <f t="shared" ref="K650" ca="1" si="634">K591</f>
        <v>-54420.743654841237</v>
      </c>
      <c r="L650" s="26"/>
      <c r="M650" s="30">
        <f ca="1">SUM(F650:K650)</f>
        <v>-245793.25944432564</v>
      </c>
    </row>
    <row r="651" spans="1:13" outlineLevel="1"/>
    <row r="652" spans="1:13" outlineLevel="1">
      <c r="A652" s="32" t="str">
        <f ca="1">OFFSET(Язык!$A$657,0,LANGUAGE)</f>
        <v>Источники финансирования:</v>
      </c>
      <c r="C652" s="6" t="str">
        <f ca="1">CUR_Main</f>
        <v>$</v>
      </c>
      <c r="F652" s="62">
        <f t="shared" ref="F652:J652" si="635">SUM(F654:F657)</f>
        <v>0</v>
      </c>
      <c r="G652" s="62">
        <f t="shared" si="635"/>
        <v>2906000</v>
      </c>
      <c r="H652" s="62">
        <f t="shared" si="635"/>
        <v>0</v>
      </c>
      <c r="I652" s="62">
        <f t="shared" si="635"/>
        <v>0</v>
      </c>
      <c r="J652" s="62">
        <f t="shared" si="635"/>
        <v>0</v>
      </c>
      <c r="K652" s="62">
        <f t="shared" ref="K652" si="636">SUM(K654:K657)</f>
        <v>0</v>
      </c>
      <c r="L652" s="26"/>
      <c r="M652" s="27">
        <f>SUM(F652:K652)</f>
        <v>2906000</v>
      </c>
    </row>
    <row r="653" spans="1:13" outlineLevel="1"/>
    <row r="654" spans="1:13" outlineLevel="1">
      <c r="A654" s="2" t="str">
        <f ca="1">OFFSET(Язык!$A$438,0,LANGUAGE)</f>
        <v>Поступления акционерного капитала</v>
      </c>
      <c r="C654" s="6" t="str">
        <f ca="1">CUR_Main</f>
        <v>$</v>
      </c>
      <c r="F654" s="26">
        <f t="shared" ref="F654:J654" si="637">F596+F603</f>
        <v>0</v>
      </c>
      <c r="G654" s="26">
        <f t="shared" si="637"/>
        <v>0</v>
      </c>
      <c r="H654" s="26">
        <f t="shared" si="637"/>
        <v>0</v>
      </c>
      <c r="I654" s="26">
        <f t="shared" si="637"/>
        <v>0</v>
      </c>
      <c r="J654" s="26">
        <f t="shared" si="637"/>
        <v>0</v>
      </c>
      <c r="K654" s="26">
        <f t="shared" ref="K654" si="638">K596+K603</f>
        <v>0</v>
      </c>
      <c r="L654" s="26"/>
      <c r="M654" s="30">
        <f>SUM(F654:K654)</f>
        <v>0</v>
      </c>
    </row>
    <row r="655" spans="1:13" outlineLevel="1">
      <c r="A655" s="2" t="str">
        <f ca="1">OFFSET(Язык!$A$624,0,LANGUAGE)</f>
        <v>Целевое финансирование</v>
      </c>
      <c r="C655" s="6" t="str">
        <f ca="1">CUR_Main</f>
        <v>$</v>
      </c>
      <c r="F655" s="26">
        <f t="shared" ref="F655:J655" si="639">F605</f>
        <v>0</v>
      </c>
      <c r="G655" s="26">
        <f t="shared" si="639"/>
        <v>0</v>
      </c>
      <c r="H655" s="26">
        <f t="shared" si="639"/>
        <v>0</v>
      </c>
      <c r="I655" s="26">
        <f t="shared" si="639"/>
        <v>0</v>
      </c>
      <c r="J655" s="26">
        <f t="shared" si="639"/>
        <v>0</v>
      </c>
      <c r="K655" s="26">
        <f t="shared" ref="K655" si="640">K605</f>
        <v>0</v>
      </c>
      <c r="L655" s="26"/>
      <c r="M655" s="30">
        <f>SUM(F655:K655)</f>
        <v>0</v>
      </c>
    </row>
    <row r="656" spans="1:13" outlineLevel="1">
      <c r="A656" s="2" t="str">
        <f ca="1">OFFSET(Язык!$A$440,0,LANGUAGE)</f>
        <v>Поступления кредитов</v>
      </c>
      <c r="C656" s="6" t="str">
        <f ca="1">CUR_Main</f>
        <v>$</v>
      </c>
      <c r="F656" s="26">
        <f t="shared" ref="F656:J656" si="641">F629</f>
        <v>0</v>
      </c>
      <c r="G656" s="26">
        <f t="shared" si="641"/>
        <v>2906000</v>
      </c>
      <c r="H656" s="26">
        <f t="shared" si="641"/>
        <v>0</v>
      </c>
      <c r="I656" s="26">
        <f t="shared" si="641"/>
        <v>0</v>
      </c>
      <c r="J656" s="26">
        <f t="shared" si="641"/>
        <v>0</v>
      </c>
      <c r="K656" s="26">
        <f t="shared" ref="K656" si="642">K629</f>
        <v>0</v>
      </c>
      <c r="L656" s="26"/>
      <c r="M656" s="30">
        <f>SUM(F656:K656)</f>
        <v>2906000</v>
      </c>
    </row>
    <row r="657" spans="1:13" outlineLevel="1">
      <c r="A657" s="2" t="str">
        <f ca="1">OFFSET(Язык!$A$655,0,LANGUAGE)</f>
        <v>Оборудование, полученное по лизингу</v>
      </c>
      <c r="C657" s="6" t="str">
        <f ca="1">CUR_Main</f>
        <v>$</v>
      </c>
      <c r="F657" s="26"/>
      <c r="G657" s="26"/>
      <c r="H657" s="26"/>
      <c r="I657" s="26"/>
      <c r="J657" s="26"/>
      <c r="K657" s="26"/>
      <c r="L657" s="26"/>
      <c r="M657" s="30">
        <f>SUM(F657:K657)</f>
        <v>0</v>
      </c>
    </row>
    <row r="658" spans="1:13" outlineLevel="1"/>
    <row r="659" spans="1:13" outlineLevel="1">
      <c r="A659" s="32" t="str">
        <f ca="1">OFFSET(Язык!$A$658,0,LANGUAGE)</f>
        <v>Платежи за использованный капитал:</v>
      </c>
      <c r="C659" s="6" t="str">
        <f ca="1">CUR_Main</f>
        <v>$</v>
      </c>
      <c r="F659" s="62">
        <f t="shared" ref="F659:J659" ca="1" si="643">SUM(F661:F664)</f>
        <v>0</v>
      </c>
      <c r="G659" s="62">
        <f t="shared" ca="1" si="643"/>
        <v>0</v>
      </c>
      <c r="H659" s="62">
        <f t="shared" ca="1" si="643"/>
        <v>1376840</v>
      </c>
      <c r="I659" s="62">
        <f t="shared" ca="1" si="643"/>
        <v>1241040</v>
      </c>
      <c r="J659" s="62">
        <f t="shared" ca="1" si="643"/>
        <v>1101240</v>
      </c>
      <c r="K659" s="62">
        <f t="shared" ref="K659" ca="1" si="644">SUM(K661:K664)</f>
        <v>0</v>
      </c>
      <c r="L659" s="62"/>
      <c r="M659" s="27">
        <f ca="1">SUM(F659:K659)</f>
        <v>3719120</v>
      </c>
    </row>
    <row r="660" spans="1:13" outlineLevel="1"/>
    <row r="661" spans="1:13" outlineLevel="1">
      <c r="A661" s="2" t="str">
        <f ca="1">OFFSET(Язык!$A$441,0,LANGUAGE)</f>
        <v>Возврат кредитов</v>
      </c>
      <c r="C661" s="6" t="str">
        <f ca="1">CUR_Main</f>
        <v>$</v>
      </c>
      <c r="F661" s="26">
        <f t="shared" ref="F661:J661" si="645">F630</f>
        <v>0</v>
      </c>
      <c r="G661" s="26">
        <f t="shared" si="645"/>
        <v>0</v>
      </c>
      <c r="H661" s="26">
        <f t="shared" si="645"/>
        <v>970000</v>
      </c>
      <c r="I661" s="26">
        <f t="shared" si="645"/>
        <v>970000</v>
      </c>
      <c r="J661" s="26">
        <f t="shared" si="645"/>
        <v>966000</v>
      </c>
      <c r="K661" s="26">
        <f t="shared" ref="K661" si="646">K630</f>
        <v>0</v>
      </c>
      <c r="L661" s="26"/>
      <c r="M661" s="30">
        <f>SUM(F661:K661)</f>
        <v>2906000</v>
      </c>
    </row>
    <row r="662" spans="1:13" outlineLevel="1">
      <c r="A662" s="2" t="str">
        <f ca="1">OFFSET(Язык!$A$428,0,LANGUAGE)</f>
        <v>Выплата процентов по кредитам</v>
      </c>
      <c r="C662" s="6" t="str">
        <f ca="1">CUR_Main</f>
        <v>$</v>
      </c>
      <c r="F662" s="26">
        <f t="shared" ref="F662:J662" si="647">F631</f>
        <v>0</v>
      </c>
      <c r="G662" s="26">
        <f t="shared" si="647"/>
        <v>0</v>
      </c>
      <c r="H662" s="26">
        <f t="shared" si="647"/>
        <v>406840.00000000006</v>
      </c>
      <c r="I662" s="26">
        <f t="shared" si="647"/>
        <v>271040</v>
      </c>
      <c r="J662" s="26">
        <f t="shared" si="647"/>
        <v>135240</v>
      </c>
      <c r="K662" s="26">
        <f t="shared" ref="K662" si="648">K631</f>
        <v>0</v>
      </c>
      <c r="L662" s="26"/>
      <c r="M662" s="30">
        <f>SUM(F662:K662)</f>
        <v>813120</v>
      </c>
    </row>
    <row r="663" spans="1:13" outlineLevel="1">
      <c r="A663" s="2" t="str">
        <f ca="1">OFFSET(Язык!$A$442,0,LANGUAGE)</f>
        <v>Лизинговые платежи</v>
      </c>
      <c r="C663" s="6" t="str">
        <f ca="1">CUR_Main</f>
        <v>$</v>
      </c>
      <c r="F663" s="26">
        <f t="shared" ref="F663:J663" ca="1" si="649">F521</f>
        <v>0</v>
      </c>
      <c r="G663" s="26">
        <f t="shared" ca="1" si="649"/>
        <v>0</v>
      </c>
      <c r="H663" s="26">
        <f t="shared" ca="1" si="649"/>
        <v>0</v>
      </c>
      <c r="I663" s="26">
        <f t="shared" ca="1" si="649"/>
        <v>0</v>
      </c>
      <c r="J663" s="26">
        <f t="shared" ca="1" si="649"/>
        <v>0</v>
      </c>
      <c r="K663" s="26">
        <f t="shared" ref="K663" ca="1" si="650">K521</f>
        <v>0</v>
      </c>
      <c r="L663" s="26"/>
      <c r="M663" s="30">
        <f ca="1">SUM(F663:K663)</f>
        <v>0</v>
      </c>
    </row>
    <row r="664" spans="1:13" outlineLevel="1">
      <c r="A664" s="11" t="str">
        <f ca="1">OFFSET(Язык!$A$443,0,LANGUAGE)</f>
        <v>Выплата дивидендов</v>
      </c>
      <c r="B664" s="12"/>
      <c r="C664" s="12" t="str">
        <f ca="1">CUR_Main</f>
        <v>$</v>
      </c>
      <c r="D664" s="11"/>
      <c r="E664" s="11"/>
      <c r="F664" s="46">
        <f t="shared" ref="F664:J664" si="651">F770</f>
        <v>0</v>
      </c>
      <c r="G664" s="46">
        <f t="shared" ca="1" si="651"/>
        <v>0</v>
      </c>
      <c r="H664" s="46">
        <f t="shared" ca="1" si="651"/>
        <v>0</v>
      </c>
      <c r="I664" s="46">
        <f t="shared" ca="1" si="651"/>
        <v>0</v>
      </c>
      <c r="J664" s="46">
        <f t="shared" ca="1" si="651"/>
        <v>0</v>
      </c>
      <c r="K664" s="46">
        <f t="shared" ref="K664" ca="1" si="652">K770</f>
        <v>0</v>
      </c>
      <c r="L664" s="46"/>
      <c r="M664" s="152">
        <f ca="1">SUM(F664:K664)</f>
        <v>0</v>
      </c>
    </row>
    <row r="665" spans="1:13" outlineLevel="1">
      <c r="A665" s="11"/>
      <c r="B665" s="12"/>
      <c r="C665" s="12"/>
      <c r="D665" s="11"/>
      <c r="E665" s="11"/>
      <c r="F665" s="46"/>
      <c r="G665" s="46"/>
      <c r="H665" s="46"/>
      <c r="I665" s="46"/>
      <c r="J665" s="46"/>
      <c r="K665" s="46"/>
      <c r="L665" s="46"/>
      <c r="M665" s="152"/>
    </row>
    <row r="666" spans="1:13" outlineLevel="1">
      <c r="A666" s="13" t="str">
        <f ca="1">OFFSET(Язык!$A$621,0,LANGUAGE)</f>
        <v>Справка: Остаток средств на счете</v>
      </c>
      <c r="B666" s="12"/>
      <c r="C666" s="12" t="str">
        <f ca="1">CUR_Main</f>
        <v>$</v>
      </c>
      <c r="D666" s="11" t="s">
        <v>1736</v>
      </c>
      <c r="E666" s="11"/>
      <c r="F666" s="152">
        <f ca="1">F887*IF(CUR_I_Report=2,G$98,1)</f>
        <v>0</v>
      </c>
      <c r="G666" s="152">
        <f ca="1">G887*IF(CUR_I_Report=2,H$98,1)</f>
        <v>526044.88551587285</v>
      </c>
      <c r="H666" s="152">
        <f ca="1">H887*IF(CUR_I_Report=2,I$98,1)</f>
        <v>1001563.9031299604</v>
      </c>
      <c r="I666" s="152">
        <f ca="1">I887*IF(CUR_I_Report=2,J$98,1)</f>
        <v>1028977.1099295644</v>
      </c>
      <c r="J666" s="152">
        <f ca="1">J887*IF(CUR_I_Report=2,#REF!,1)</f>
        <v>1331733.6068466292</v>
      </c>
      <c r="K666" s="152">
        <f ca="1">K887*IF(CUR_I_Report=2,#REF!,1)</f>
        <v>2846086.3343929006</v>
      </c>
      <c r="L666" s="46"/>
      <c r="M666" s="152"/>
    </row>
    <row r="667" spans="1:13" outlineLevel="1">
      <c r="A667" s="153" t="str">
        <f ca="1">OFFSET(Язык!$A$637,0,LANGUAGE)</f>
        <v>Минимальный остаток средств на счете</v>
      </c>
      <c r="B667" s="207">
        <f ca="1">MIN(G666:K666)</f>
        <v>526044.88551587285</v>
      </c>
      <c r="C667" s="41" t="str">
        <f ca="1">CUR_Main</f>
        <v>$</v>
      </c>
      <c r="D667" s="43"/>
      <c r="E667" s="43"/>
      <c r="F667" s="43"/>
      <c r="G667" s="43"/>
      <c r="H667" s="43"/>
      <c r="I667" s="43"/>
      <c r="J667" s="43"/>
      <c r="K667" s="43"/>
      <c r="L667" s="57"/>
      <c r="M667" s="58"/>
    </row>
    <row r="668" spans="1:13" outlineLevel="1"/>
    <row r="669" spans="1:13" ht="12" outlineLevel="1" thickBot="1"/>
    <row r="670" spans="1:13" ht="15.95" customHeight="1" thickTop="1" thickBot="1">
      <c r="A670" s="18" t="str">
        <f ca="1">OFFSET(Язык!$A$304,0,LANGUAGE)</f>
        <v>НАЛОГИ И ПЛАТЕЖИ В ФОНДЫ</v>
      </c>
      <c r="B670" s="23"/>
      <c r="C670" s="19"/>
      <c r="D670" s="18"/>
      <c r="E670" s="18"/>
      <c r="F670" s="19" t="str">
        <f t="shared" ref="F670:K670" si="653">PeriodTitle</f>
        <v>"0"</v>
      </c>
      <c r="G670" s="19">
        <f t="shared" si="653"/>
        <v>2013</v>
      </c>
      <c r="H670" s="19">
        <f t="shared" si="653"/>
        <v>2014</v>
      </c>
      <c r="I670" s="19">
        <f t="shared" si="653"/>
        <v>2015</v>
      </c>
      <c r="J670" s="19">
        <f t="shared" si="653"/>
        <v>2016</v>
      </c>
      <c r="K670" s="19">
        <f t="shared" si="653"/>
        <v>2017</v>
      </c>
      <c r="L670" s="19"/>
      <c r="M670" s="23" t="str">
        <f ca="1">OFFSET(Язык!$A$77,0,LANGUAGE)</f>
        <v>ИТОГО</v>
      </c>
    </row>
    <row r="671" spans="1:13" ht="12" outlineLevel="1" thickTop="1"/>
    <row r="672" spans="1:13" outlineLevel="1">
      <c r="B672" s="6" t="str">
        <f ca="1">OFFSET(Язык!$A$368,0,LANGUAGE)</f>
        <v>дней</v>
      </c>
    </row>
    <row r="673" spans="1:13" outlineLevel="1">
      <c r="A673" s="2" t="str">
        <f ca="1">OFFSET(Язык!$A$306,0,LANGUAGE)</f>
        <v>Акцизы и экспортные пошлины</v>
      </c>
      <c r="B673" s="7">
        <v>30</v>
      </c>
      <c r="G673" s="26">
        <f t="shared" ref="G673:J673" si="654">G174</f>
        <v>0</v>
      </c>
      <c r="H673" s="26">
        <f t="shared" si="654"/>
        <v>0</v>
      </c>
      <c r="I673" s="26">
        <f t="shared" si="654"/>
        <v>0</v>
      </c>
      <c r="J673" s="26">
        <f t="shared" si="654"/>
        <v>0</v>
      </c>
      <c r="K673" s="26">
        <f t="shared" ref="K673" si="655">K174</f>
        <v>0</v>
      </c>
      <c r="M673" s="30">
        <f>SUM(F673:K673)</f>
        <v>0</v>
      </c>
    </row>
    <row r="674" spans="1:13" outlineLevel="1">
      <c r="A674" s="2" t="str">
        <f ca="1">OFFSET(Язык!$A$307,0,LANGUAGE)</f>
        <v>Импортные пошлины</v>
      </c>
      <c r="B674" s="7">
        <v>30</v>
      </c>
      <c r="F674" s="26">
        <f t="shared" ref="F674:J674" si="656">F480</f>
        <v>0</v>
      </c>
      <c r="G674" s="26">
        <f t="shared" si="656"/>
        <v>0</v>
      </c>
      <c r="H674" s="26">
        <f t="shared" si="656"/>
        <v>0</v>
      </c>
      <c r="I674" s="26">
        <f t="shared" si="656"/>
        <v>0</v>
      </c>
      <c r="J674" s="26">
        <f t="shared" si="656"/>
        <v>0</v>
      </c>
      <c r="K674" s="26">
        <f t="shared" ref="K674" si="657">K480</f>
        <v>0</v>
      </c>
      <c r="M674" s="30">
        <f>SUM(F674:K674)</f>
        <v>0</v>
      </c>
    </row>
    <row r="675" spans="1:13" outlineLevel="1">
      <c r="A675" s="43"/>
    </row>
    <row r="676" spans="1:13" outlineLevel="1">
      <c r="A676" s="37" t="str">
        <f ca="1">OFFSET(Язык!$A$308,0,LANGUAGE)</f>
        <v>1. НАЛОГ НА ДОБАВЛЕННУЮ СТОИМОСТЬ</v>
      </c>
      <c r="B676" s="67"/>
      <c r="C676" s="67"/>
      <c r="D676" s="68"/>
      <c r="E676" s="68"/>
      <c r="F676" s="68"/>
      <c r="G676" s="68"/>
      <c r="H676" s="68"/>
      <c r="I676" s="68"/>
      <c r="J676" s="68"/>
      <c r="K676" s="68"/>
      <c r="L676" s="68"/>
      <c r="M676" s="68"/>
    </row>
    <row r="677" spans="1:13" outlineLevel="1">
      <c r="A677" s="13"/>
      <c r="B677" s="12"/>
      <c r="C677" s="12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outlineLevel="1">
      <c r="A678" s="2" t="str">
        <f ca="1">OFFSET(Язык!$A$309,0,LANGUAGE)</f>
        <v xml:space="preserve">    ставка</v>
      </c>
      <c r="B678" s="64">
        <v>0.12</v>
      </c>
    </row>
    <row r="679" spans="1:13" outlineLevel="1">
      <c r="A679" s="2" t="str">
        <f ca="1">OFFSET(Язык!$A$310,0,LANGUAGE)</f>
        <v xml:space="preserve">    период уплаты</v>
      </c>
      <c r="B679" s="7">
        <v>30</v>
      </c>
      <c r="C679" s="61" t="str">
        <f ca="1">OFFSET(Язык!$A$368,0,LANGUAGE)</f>
        <v>дней</v>
      </c>
    </row>
    <row r="680" spans="1:13" outlineLevel="1">
      <c r="A680" s="2" t="str">
        <f ca="1">OFFSET(Язык!$A$311,0,LANGUAGE)</f>
        <v xml:space="preserve">    способ зачета переплаченного НДС</v>
      </c>
      <c r="B680" s="7">
        <v>1</v>
      </c>
      <c r="C680" s="61" t="str">
        <f ca="1">OFFSET(Язык!$A$369,VAT_Repay-1,LANGUAGE)</f>
        <v>возвращается из бюджета</v>
      </c>
    </row>
    <row r="681" spans="1:13" outlineLevel="1">
      <c r="A681" s="2" t="str">
        <f ca="1">OFFSET(Язык!$A$312,0,LANGUAGE)</f>
        <v xml:space="preserve">    зачет НДС по введенным в строй активам</v>
      </c>
      <c r="B681" s="7">
        <v>1</v>
      </c>
      <c r="C681" s="61" t="str">
        <f ca="1">OFFSET(Язык!$A$371,VAT_OnAssets-1,LANGUAGE)</f>
        <v>сразу после постановки на баланс</v>
      </c>
    </row>
    <row r="682" spans="1:13" outlineLevel="1" collapsed="1">
      <c r="A682" s="2" t="str">
        <f ca="1">OFFSET(Язык!$A$313,0,LANGUAGE)</f>
        <v>НДС полученный</v>
      </c>
      <c r="C682" s="6" t="str">
        <f t="shared" ref="C682:C695" ca="1" si="658">CUR_Main</f>
        <v>$</v>
      </c>
      <c r="F682" s="26">
        <f t="shared" ref="F682:J682" ca="1" si="659">SUM(F683:F685)</f>
        <v>0</v>
      </c>
      <c r="G682" s="26">
        <f t="shared" ca="1" si="659"/>
        <v>272651.78571428568</v>
      </c>
      <c r="H682" s="26">
        <f t="shared" ca="1" si="659"/>
        <v>599833.92857142864</v>
      </c>
      <c r="I682" s="26">
        <f t="shared" ca="1" si="659"/>
        <v>659817.32142857159</v>
      </c>
      <c r="J682" s="26">
        <f t="shared" ca="1" si="659"/>
        <v>725799.05357142875</v>
      </c>
      <c r="K682" s="26">
        <f t="shared" ref="K682" ca="1" si="660">SUM(K683:K685)</f>
        <v>798378.95892857166</v>
      </c>
      <c r="L682" s="26"/>
      <c r="M682" s="30">
        <f t="shared" ref="M682:M692" ca="1" si="661">SUM(F682:K682)</f>
        <v>3056481.0482142861</v>
      </c>
    </row>
    <row r="683" spans="1:13" hidden="1" outlineLevel="2">
      <c r="A683" s="2" t="str">
        <f ca="1">OFFSET(Язык!$A$314,0,LANGUAGE)</f>
        <v xml:space="preserve">    от продажи товаров (работ, услуг)</v>
      </c>
      <c r="C683" s="6" t="str">
        <f t="shared" ca="1" si="658"/>
        <v>$</v>
      </c>
      <c r="F683" s="26">
        <f t="shared" ref="F683:J683" ca="1" si="662">F180</f>
        <v>0</v>
      </c>
      <c r="G683" s="26">
        <f t="shared" ca="1" si="662"/>
        <v>272651.78571428568</v>
      </c>
      <c r="H683" s="26">
        <f t="shared" ca="1" si="662"/>
        <v>599833.92857142864</v>
      </c>
      <c r="I683" s="26">
        <f t="shared" ca="1" si="662"/>
        <v>659817.32142857159</v>
      </c>
      <c r="J683" s="26">
        <f t="shared" ca="1" si="662"/>
        <v>725799.05357142875</v>
      </c>
      <c r="K683" s="26">
        <f t="shared" ref="K683" ca="1" si="663">K180</f>
        <v>798378.95892857166</v>
      </c>
      <c r="L683" s="26"/>
      <c r="M683" s="30">
        <f t="shared" ca="1" si="661"/>
        <v>3056481.0482142861</v>
      </c>
    </row>
    <row r="684" spans="1:13" hidden="1" outlineLevel="2">
      <c r="A684" s="2" t="str">
        <f ca="1">OFFSET(Язык!$A$315,0,LANGUAGE)</f>
        <v xml:space="preserve">    от продажи активов</v>
      </c>
      <c r="C684" s="6" t="str">
        <f t="shared" ca="1" si="658"/>
        <v>$</v>
      </c>
      <c r="F684" s="26">
        <f t="shared" ref="F684:J684" si="664">F472+F485</f>
        <v>0</v>
      </c>
      <c r="G684" s="26">
        <f t="shared" si="664"/>
        <v>0</v>
      </c>
      <c r="H684" s="26">
        <f t="shared" si="664"/>
        <v>0</v>
      </c>
      <c r="I684" s="26">
        <f t="shared" si="664"/>
        <v>0</v>
      </c>
      <c r="J684" s="26">
        <f t="shared" si="664"/>
        <v>0</v>
      </c>
      <c r="K684" s="26">
        <f t="shared" ref="K684" si="665">K472+K485</f>
        <v>0</v>
      </c>
      <c r="L684" s="26"/>
      <c r="M684" s="30">
        <f t="shared" si="661"/>
        <v>0</v>
      </c>
    </row>
    <row r="685" spans="1:13" hidden="1" outlineLevel="2">
      <c r="A685" s="2" t="str">
        <f ca="1">OFFSET(Язык!$A$316,0,LANGUAGE)</f>
        <v xml:space="preserve">    от прочей деятельности</v>
      </c>
      <c r="C685" s="6" t="str">
        <f t="shared" ca="1" si="658"/>
        <v>$</v>
      </c>
      <c r="F685" s="26">
        <f t="shared" ref="F685:J685" si="666">F832+F840</f>
        <v>0</v>
      </c>
      <c r="G685" s="26">
        <f t="shared" si="666"/>
        <v>0</v>
      </c>
      <c r="H685" s="26">
        <f t="shared" si="666"/>
        <v>0</v>
      </c>
      <c r="I685" s="26">
        <f t="shared" si="666"/>
        <v>0</v>
      </c>
      <c r="J685" s="26">
        <f t="shared" si="666"/>
        <v>0</v>
      </c>
      <c r="K685" s="26">
        <f t="shared" ref="K685" si="667">K832+K840</f>
        <v>0</v>
      </c>
      <c r="L685" s="26"/>
      <c r="M685" s="30">
        <f t="shared" si="661"/>
        <v>0</v>
      </c>
    </row>
    <row r="686" spans="1:13" outlineLevel="1" collapsed="1">
      <c r="A686" s="2" t="str">
        <f ca="1">OFFSET(Язык!$A$317,0,LANGUAGE)</f>
        <v>НДС уплаченный</v>
      </c>
      <c r="C686" s="6" t="str">
        <f t="shared" ca="1" si="658"/>
        <v>$</v>
      </c>
      <c r="F686" s="26">
        <f t="shared" ref="F686:J686" ca="1" si="668">SUM(F687:F690)</f>
        <v>0</v>
      </c>
      <c r="G686" s="26">
        <f t="shared" ca="1" si="668"/>
        <v>505866.96428571426</v>
      </c>
      <c r="H686" s="26">
        <f t="shared" ca="1" si="668"/>
        <v>386608.92857142858</v>
      </c>
      <c r="I686" s="26">
        <f t="shared" ca="1" si="668"/>
        <v>425269.82142857148</v>
      </c>
      <c r="J686" s="26">
        <f t="shared" ca="1" si="668"/>
        <v>467796.80357142858</v>
      </c>
      <c r="K686" s="26">
        <f t="shared" ref="K686" ca="1" si="669">SUM(K687:K690)</f>
        <v>514576.48392857151</v>
      </c>
      <c r="L686" s="26"/>
      <c r="M686" s="30">
        <f t="shared" ca="1" si="661"/>
        <v>2300119.0017857146</v>
      </c>
    </row>
    <row r="687" spans="1:13" hidden="1" outlineLevel="2">
      <c r="A687" s="2" t="str">
        <f ca="1">OFFSET(Язык!$A$318,0,LANGUAGE)</f>
        <v xml:space="preserve">    при оплате материалов и комплектующих</v>
      </c>
      <c r="C687" s="6" t="str">
        <f t="shared" ca="1" si="658"/>
        <v>$</v>
      </c>
      <c r="F687" s="26">
        <f t="shared" ref="F687:J687" ca="1" si="670">F270</f>
        <v>0</v>
      </c>
      <c r="G687" s="26">
        <f t="shared" ca="1" si="670"/>
        <v>156696.42857142855</v>
      </c>
      <c r="H687" s="26">
        <f t="shared" ca="1" si="670"/>
        <v>344732.14285714284</v>
      </c>
      <c r="I687" s="26">
        <f t="shared" ca="1" si="670"/>
        <v>379205.35714285716</v>
      </c>
      <c r="J687" s="26">
        <f t="shared" ca="1" si="670"/>
        <v>417125.89285714284</v>
      </c>
      <c r="K687" s="26">
        <f t="shared" ref="K687" ca="1" si="671">K270</f>
        <v>458838.48214285722</v>
      </c>
      <c r="L687" s="26"/>
      <c r="M687" s="30">
        <f t="shared" ca="1" si="661"/>
        <v>1756598.3035714286</v>
      </c>
    </row>
    <row r="688" spans="1:13" hidden="1" outlineLevel="2">
      <c r="A688" s="2" t="str">
        <f ca="1">OFFSET(Язык!$A$319,0,LANGUAGE)</f>
        <v xml:space="preserve">    при оплате текущих затрат</v>
      </c>
      <c r="C688" s="6" t="str">
        <f t="shared" ca="1" si="658"/>
        <v>$</v>
      </c>
      <c r="F688" s="26">
        <f t="shared" ref="F688:J688" si="672">F377+F380+F383</f>
        <v>0</v>
      </c>
      <c r="G688" s="26">
        <f t="shared" ca="1" si="672"/>
        <v>37813.392857142855</v>
      </c>
      <c r="H688" s="26">
        <f t="shared" ca="1" si="672"/>
        <v>41876.785714285717</v>
      </c>
      <c r="I688" s="26">
        <f t="shared" ca="1" si="672"/>
        <v>46064.46428571429</v>
      </c>
      <c r="J688" s="26">
        <f t="shared" ca="1" si="672"/>
        <v>50670.910714285732</v>
      </c>
      <c r="K688" s="26">
        <f t="shared" ref="K688" ca="1" si="673">K377+K380+K383</f>
        <v>55738.001785714303</v>
      </c>
      <c r="L688" s="26"/>
      <c r="M688" s="30">
        <f t="shared" ca="1" si="661"/>
        <v>232163.5553571429</v>
      </c>
    </row>
    <row r="689" spans="1:13" hidden="1" outlineLevel="2">
      <c r="A689" s="2" t="str">
        <f ca="1">OFFSET(Язык!$A$320,0,LANGUAGE)</f>
        <v xml:space="preserve">    при оплате лизинга и выкупе арендованных активов</v>
      </c>
      <c r="C689" s="6" t="str">
        <f t="shared" ca="1" si="658"/>
        <v>$</v>
      </c>
      <c r="F689" s="26">
        <f t="shared" ref="F689:J689" ca="1" si="674">F523</f>
        <v>0</v>
      </c>
      <c r="G689" s="26">
        <f t="shared" ca="1" si="674"/>
        <v>0</v>
      </c>
      <c r="H689" s="26">
        <f t="shared" ca="1" si="674"/>
        <v>0</v>
      </c>
      <c r="I689" s="26">
        <f t="shared" ca="1" si="674"/>
        <v>0</v>
      </c>
      <c r="J689" s="26">
        <f t="shared" ca="1" si="674"/>
        <v>0</v>
      </c>
      <c r="K689" s="26">
        <f t="shared" ref="K689" ca="1" si="675">K523</f>
        <v>0</v>
      </c>
      <c r="L689" s="26"/>
      <c r="M689" s="30">
        <f t="shared" ca="1" si="661"/>
        <v>0</v>
      </c>
    </row>
    <row r="690" spans="1:13" hidden="1" outlineLevel="2">
      <c r="A690" s="2" t="str">
        <f ca="1">OFFSET(Язык!$A$321,0,LANGUAGE)</f>
        <v xml:space="preserve">    при оплате постоянных активов</v>
      </c>
      <c r="C690" s="6" t="str">
        <f t="shared" ca="1" si="658"/>
        <v>$</v>
      </c>
      <c r="F690" s="26">
        <f t="shared" ref="F690:J690" si="676">F468+F481+F493</f>
        <v>0</v>
      </c>
      <c r="G690" s="26">
        <f t="shared" si="676"/>
        <v>311357.14285714284</v>
      </c>
      <c r="H690" s="26">
        <f t="shared" si="676"/>
        <v>0</v>
      </c>
      <c r="I690" s="26">
        <f t="shared" si="676"/>
        <v>0</v>
      </c>
      <c r="J690" s="26">
        <f t="shared" si="676"/>
        <v>0</v>
      </c>
      <c r="K690" s="26">
        <f t="shared" ref="K690" si="677">K468+K481+K493</f>
        <v>0</v>
      </c>
      <c r="L690" s="26"/>
      <c r="M690" s="30">
        <f t="shared" si="661"/>
        <v>311357.14285714284</v>
      </c>
    </row>
    <row r="691" spans="1:13" outlineLevel="1" collapsed="1">
      <c r="A691" s="32" t="str">
        <f ca="1">OFFSET(Язык!$A$322,0,LANGUAGE)</f>
        <v>Платежи НДС в бюджет (или возврат из бюджета)</v>
      </c>
      <c r="C691" s="6" t="str">
        <f t="shared" ca="1" si="658"/>
        <v>$</v>
      </c>
      <c r="F691" s="62">
        <f t="shared" ref="F691:K691" ca="1" si="678">IF(VAT_Repay=2,MAX(F694-E695,0),F694)</f>
        <v>0</v>
      </c>
      <c r="G691" s="62">
        <f t="shared" ca="1" si="678"/>
        <v>78141.964285714275</v>
      </c>
      <c r="H691" s="62">
        <f t="shared" ca="1" si="678"/>
        <v>-98132.142857142753</v>
      </c>
      <c r="I691" s="62">
        <f t="shared" ca="1" si="678"/>
        <v>234547.50000000015</v>
      </c>
      <c r="J691" s="62">
        <f t="shared" ca="1" si="678"/>
        <v>258002.25000000017</v>
      </c>
      <c r="K691" s="62">
        <f t="shared" ca="1" si="678"/>
        <v>283802.47500000015</v>
      </c>
      <c r="L691" s="26"/>
      <c r="M691" s="27">
        <f ca="1">SUM(F691:K691)</f>
        <v>756362.04642857192</v>
      </c>
    </row>
    <row r="692" spans="1:13" hidden="1" outlineLevel="2">
      <c r="A692" s="2" t="str">
        <f ca="1">OFFSET(Язык!$A$323,0,LANGUAGE)</f>
        <v xml:space="preserve">    зачтенный НДС на постоянные активы</v>
      </c>
      <c r="C692" s="6" t="str">
        <f t="shared" ca="1" si="658"/>
        <v>$</v>
      </c>
      <c r="F692" s="26">
        <f t="shared" ref="F692:J692" ca="1" si="679">F469+F482+F494</f>
        <v>0</v>
      </c>
      <c r="G692" s="26">
        <f t="shared" ca="1" si="679"/>
        <v>0</v>
      </c>
      <c r="H692" s="26">
        <f t="shared" ca="1" si="679"/>
        <v>311357.14285714284</v>
      </c>
      <c r="I692" s="26">
        <f t="shared" ca="1" si="679"/>
        <v>0</v>
      </c>
      <c r="J692" s="26">
        <f t="shared" ca="1" si="679"/>
        <v>0</v>
      </c>
      <c r="K692" s="26">
        <f t="shared" ref="K692" ca="1" si="680">K469+K482+K494</f>
        <v>0</v>
      </c>
      <c r="L692" s="26"/>
      <c r="M692" s="30">
        <f t="shared" ca="1" si="661"/>
        <v>311357.14285714284</v>
      </c>
    </row>
    <row r="693" spans="1:13" hidden="1" outlineLevel="2">
      <c r="A693" s="2" t="str">
        <f ca="1">OFFSET(Язык!$A$324,0,LANGUAGE)</f>
        <v xml:space="preserve">    выплаченный, но еще не зачтенный НДС</v>
      </c>
      <c r="C693" s="6" t="str">
        <f t="shared" ca="1" si="658"/>
        <v>$</v>
      </c>
      <c r="D693" s="2" t="s">
        <v>1736</v>
      </c>
      <c r="F693" s="26">
        <f ca="1">SUM($F690:F690)-SUM($F692:F692)+$B457</f>
        <v>0</v>
      </c>
      <c r="G693" s="26">
        <f ca="1">SUM($F690:G690)-SUM($F692:G692)+$B457</f>
        <v>311357.14285714284</v>
      </c>
      <c r="H693" s="26">
        <f ca="1">SUM($F690:H690)-SUM($F692:H692)+$B457</f>
        <v>0</v>
      </c>
      <c r="I693" s="26">
        <f ca="1">SUM($F690:I690)-SUM($F692:I692)+$B457</f>
        <v>0</v>
      </c>
      <c r="J693" s="26">
        <f ca="1">SUM($F690:J690)-SUM($F692:J692)+$B457</f>
        <v>0</v>
      </c>
      <c r="K693" s="26">
        <f ca="1">SUM($F690:K690)-SUM($F692:K692)+$B457</f>
        <v>0</v>
      </c>
      <c r="L693" s="26"/>
      <c r="M693" s="26"/>
    </row>
    <row r="694" spans="1:13" hidden="1" outlineLevel="2">
      <c r="A694" s="2" t="str">
        <f ca="1">OFFSET(Язык!$A$325,0,LANGUAGE)</f>
        <v xml:space="preserve">    НДС к уплате в бюджет (или к возврату из бюджета)</v>
      </c>
      <c r="C694" s="6" t="str">
        <f t="shared" ca="1" si="658"/>
        <v>$</v>
      </c>
      <c r="F694" s="26">
        <f t="shared" ref="F694:J694" ca="1" si="681">F682-F687-F688-F689-F692</f>
        <v>0</v>
      </c>
      <c r="G694" s="26">
        <f t="shared" ca="1" si="681"/>
        <v>78141.964285714275</v>
      </c>
      <c r="H694" s="26">
        <f t="shared" ca="1" si="681"/>
        <v>-98132.142857142753</v>
      </c>
      <c r="I694" s="26">
        <f t="shared" ca="1" si="681"/>
        <v>234547.50000000015</v>
      </c>
      <c r="J694" s="26">
        <f t="shared" ca="1" si="681"/>
        <v>258002.25000000017</v>
      </c>
      <c r="K694" s="26">
        <f t="shared" ref="K694" ca="1" si="682">K682-K687-K688-K689-K692</f>
        <v>283802.47500000015</v>
      </c>
      <c r="L694" s="26"/>
      <c r="M694" s="30">
        <f ca="1">SUM(F694:K694)</f>
        <v>756362.04642857192</v>
      </c>
    </row>
    <row r="695" spans="1:13" hidden="1" outlineLevel="2">
      <c r="A695" s="2" t="str">
        <f ca="1">OFFSET(Язык!$A$326,0,LANGUAGE)</f>
        <v xml:space="preserve">    отложенный возврат НДС из бюджета</v>
      </c>
      <c r="C695" s="6" t="str">
        <f t="shared" ca="1" si="658"/>
        <v>$</v>
      </c>
      <c r="D695" s="2" t="s">
        <v>1736</v>
      </c>
      <c r="F695" s="26">
        <f ca="1">IF(AND(F694&lt;0,VAT_Repay=2),-F694,0)</f>
        <v>0</v>
      </c>
      <c r="G695" s="26">
        <f t="shared" ref="G695:K695" si="683">IF(VAT_Repay=1,0,MAX(F695-G694,0))</f>
        <v>0</v>
      </c>
      <c r="H695" s="26">
        <f t="shared" si="683"/>
        <v>0</v>
      </c>
      <c r="I695" s="26">
        <f t="shared" si="683"/>
        <v>0</v>
      </c>
      <c r="J695" s="26">
        <f t="shared" si="683"/>
        <v>0</v>
      </c>
      <c r="K695" s="26">
        <f t="shared" si="683"/>
        <v>0</v>
      </c>
      <c r="L695" s="26"/>
      <c r="M695" s="26"/>
    </row>
    <row r="696" spans="1:13" outlineLevel="1">
      <c r="A696" s="43"/>
      <c r="B696" s="2"/>
      <c r="C696" s="2"/>
    </row>
    <row r="697" spans="1:13" outlineLevel="1">
      <c r="A697" s="37" t="str">
        <f ca="1">OFFSET(Язык!$A$327,0,LANGUAGE)</f>
        <v>2. НАЛОГИ, ОТНОСИМЫЕ НА ТЕКУЩИЕ ЗАТРАТЫ</v>
      </c>
      <c r="B697" s="67"/>
      <c r="C697" s="67"/>
      <c r="D697" s="68"/>
      <c r="E697" s="68"/>
      <c r="F697" s="69"/>
      <c r="G697" s="69"/>
      <c r="H697" s="69"/>
      <c r="I697" s="69"/>
      <c r="J697" s="69"/>
      <c r="K697" s="69"/>
      <c r="L697" s="69"/>
      <c r="M697" s="69"/>
    </row>
    <row r="698" spans="1:13" outlineLevel="1">
      <c r="F698" s="26"/>
      <c r="G698" s="26"/>
      <c r="H698" s="26"/>
      <c r="I698" s="26"/>
      <c r="J698" s="26"/>
      <c r="K698" s="26"/>
      <c r="L698" s="26"/>
      <c r="M698" s="26"/>
    </row>
    <row r="699" spans="1:13" outlineLevel="1" collapsed="1">
      <c r="A699" s="32" t="str">
        <f ca="1">OFFSET(Язык!$A$328,0,LANGUAGE)</f>
        <v>Начисления на заработную плату</v>
      </c>
      <c r="C699" s="6" t="str">
        <f ca="1">CUR_Main</f>
        <v>$</v>
      </c>
      <c r="F699" s="26"/>
      <c r="G699" s="62">
        <f t="shared" ref="G699:J699" ca="1" si="684">G312</f>
        <v>20514</v>
      </c>
      <c r="H699" s="62">
        <f t="shared" si="684"/>
        <v>11497.2</v>
      </c>
      <c r="I699" s="62">
        <f t="shared" ca="1" si="684"/>
        <v>99287.76</v>
      </c>
      <c r="J699" s="62">
        <f t="shared" ca="1" si="684"/>
        <v>109216.53600000002</v>
      </c>
      <c r="K699" s="62">
        <f t="shared" ref="K699" ca="1" si="685">K312</f>
        <v>120138.1896</v>
      </c>
      <c r="L699" s="26"/>
      <c r="M699" s="27">
        <f ca="1">SUM(F699:K699)</f>
        <v>360653.68560000003</v>
      </c>
    </row>
    <row r="700" spans="1:13" hidden="1" outlineLevel="2">
      <c r="A700" s="2" t="str">
        <f ca="1">OFFSET(Язык!$A$329,0,LANGUAGE)</f>
        <v xml:space="preserve">    Единый социальный налог (ЕСН)</v>
      </c>
      <c r="F700" s="26"/>
      <c r="G700" s="26"/>
      <c r="H700" s="26"/>
      <c r="I700" s="26"/>
      <c r="J700" s="26"/>
      <c r="K700" s="26"/>
      <c r="L700" s="26"/>
      <c r="M700" s="30">
        <f>SUM(F700:K700)</f>
        <v>0</v>
      </c>
    </row>
    <row r="701" spans="1:13" hidden="1" outlineLevel="2">
      <c r="A701" s="2" t="str">
        <f ca="1">OFFSET(Язык!$A$330,0,LANGUAGE)</f>
        <v xml:space="preserve">        ставка</v>
      </c>
      <c r="B701" s="64">
        <v>0.26</v>
      </c>
      <c r="D701" s="2" t="s">
        <v>1746</v>
      </c>
      <c r="F701" s="26"/>
      <c r="G701" s="65">
        <f>B701</f>
        <v>0.26</v>
      </c>
      <c r="H701" s="65">
        <f>G701</f>
        <v>0.26</v>
      </c>
      <c r="I701" s="65">
        <f t="shared" ref="I701:K705" si="686">H701</f>
        <v>0.26</v>
      </c>
      <c r="J701" s="65">
        <f t="shared" si="686"/>
        <v>0.26</v>
      </c>
      <c r="K701" s="65">
        <f t="shared" si="686"/>
        <v>0.26</v>
      </c>
      <c r="L701" s="26"/>
      <c r="M701" s="26"/>
    </row>
    <row r="702" spans="1:13" hidden="1" outlineLevel="2">
      <c r="A702" s="2" t="str">
        <f ca="1">OFFSET(Язык!$A$331,0,LANGUAGE)</f>
        <v xml:space="preserve">        период уплаты</v>
      </c>
      <c r="B702" s="7">
        <v>30</v>
      </c>
      <c r="C702" s="6" t="str">
        <f ca="1">OFFSET(Язык!$A$368,0,LANGUAGE)</f>
        <v>дней</v>
      </c>
      <c r="D702" s="2" t="s">
        <v>1746</v>
      </c>
      <c r="F702" s="26"/>
      <c r="G702" s="26">
        <f>B702</f>
        <v>30</v>
      </c>
      <c r="H702" s="26">
        <f>G702</f>
        <v>30</v>
      </c>
      <c r="I702" s="26">
        <f t="shared" si="686"/>
        <v>30</v>
      </c>
      <c r="J702" s="26">
        <f t="shared" si="686"/>
        <v>30</v>
      </c>
      <c r="K702" s="26">
        <f t="shared" si="686"/>
        <v>30</v>
      </c>
      <c r="L702" s="26"/>
      <c r="M702" s="26"/>
    </row>
    <row r="703" spans="1:13" hidden="1" outlineLevel="2">
      <c r="A703" s="2" t="str">
        <f ca="1">OFFSET(Язык!$A$332,0,LANGUAGE)</f>
        <v xml:space="preserve">    Страхование</v>
      </c>
      <c r="F703" s="26"/>
      <c r="G703" s="26"/>
      <c r="H703" s="26"/>
      <c r="I703" s="26"/>
      <c r="J703" s="26"/>
      <c r="K703" s="26"/>
      <c r="L703" s="26"/>
      <c r="M703" s="30">
        <f>SUM(F703:K703)</f>
        <v>0</v>
      </c>
    </row>
    <row r="704" spans="1:13" hidden="1" outlineLevel="2">
      <c r="A704" s="2" t="str">
        <f ca="1">OFFSET(Язык!$A$333,0,LANGUAGE)</f>
        <v xml:space="preserve">        ставка</v>
      </c>
      <c r="B704" s="64">
        <v>0</v>
      </c>
      <c r="D704" s="2" t="s">
        <v>1746</v>
      </c>
      <c r="F704" s="26"/>
      <c r="G704" s="65">
        <f>B704</f>
        <v>0</v>
      </c>
      <c r="H704" s="65">
        <f>G704</f>
        <v>0</v>
      </c>
      <c r="I704" s="65">
        <f t="shared" si="686"/>
        <v>0</v>
      </c>
      <c r="J704" s="65">
        <f t="shared" si="686"/>
        <v>0</v>
      </c>
      <c r="K704" s="65">
        <f t="shared" si="686"/>
        <v>0</v>
      </c>
      <c r="L704" s="26"/>
      <c r="M704" s="26"/>
    </row>
    <row r="705" spans="1:13" hidden="1" outlineLevel="2">
      <c r="A705" s="2" t="str">
        <f ca="1">OFFSET(Язык!$A$334,0,LANGUAGE)</f>
        <v xml:space="preserve">        период уплаты</v>
      </c>
      <c r="B705" s="7">
        <v>30</v>
      </c>
      <c r="C705" s="6" t="str">
        <f ca="1">OFFSET(Язык!$A$368,0,LANGUAGE)</f>
        <v>дней</v>
      </c>
      <c r="D705" s="2" t="s">
        <v>1746</v>
      </c>
      <c r="F705" s="26"/>
      <c r="G705" s="26">
        <f>B705</f>
        <v>30</v>
      </c>
      <c r="H705" s="26">
        <f>G705</f>
        <v>30</v>
      </c>
      <c r="I705" s="26">
        <f t="shared" si="686"/>
        <v>30</v>
      </c>
      <c r="J705" s="26">
        <f t="shared" si="686"/>
        <v>30</v>
      </c>
      <c r="K705" s="26">
        <f t="shared" si="686"/>
        <v>30</v>
      </c>
      <c r="L705" s="26"/>
      <c r="M705" s="26"/>
    </row>
    <row r="706" spans="1:13" outlineLevel="1" collapsed="1">
      <c r="A706" s="32" t="str">
        <f ca="1">OFFSET(Язык!$A$335,0,LANGUAGE)</f>
        <v>Земельный налог</v>
      </c>
      <c r="B706" s="63"/>
      <c r="C706" s="71" t="str">
        <f ca="1">CUR_Main</f>
        <v>$</v>
      </c>
      <c r="D706" s="32"/>
      <c r="E706" s="32"/>
      <c r="F706" s="62"/>
      <c r="G706" s="62">
        <f t="shared" ref="G706:J706" si="687">G707*G708</f>
        <v>0</v>
      </c>
      <c r="H706" s="62">
        <f t="shared" si="687"/>
        <v>0</v>
      </c>
      <c r="I706" s="62">
        <f t="shared" si="687"/>
        <v>0</v>
      </c>
      <c r="J706" s="62">
        <f t="shared" si="687"/>
        <v>0</v>
      </c>
      <c r="K706" s="62">
        <f t="shared" ref="K706" si="688">K707*K708</f>
        <v>0</v>
      </c>
      <c r="L706" s="62"/>
      <c r="M706" s="27">
        <f>SUM(F706:K706)</f>
        <v>0</v>
      </c>
    </row>
    <row r="707" spans="1:13" hidden="1" outlineLevel="2">
      <c r="A707" s="2" t="str">
        <f ca="1">OFFSET(Язык!$A$336,0,LANGUAGE)</f>
        <v xml:space="preserve">    ставка (на тыс. кв. м )</v>
      </c>
      <c r="B707" s="7">
        <v>0</v>
      </c>
      <c r="C707" s="6" t="str">
        <f ca="1">CUR_Main</f>
        <v>$</v>
      </c>
      <c r="D707" s="2" t="s">
        <v>1746</v>
      </c>
      <c r="F707" s="26"/>
      <c r="G707" s="26">
        <f>B707</f>
        <v>0</v>
      </c>
      <c r="H707" s="26">
        <f t="shared" ref="H707:K709" si="689">G707</f>
        <v>0</v>
      </c>
      <c r="I707" s="26">
        <f t="shared" si="689"/>
        <v>0</v>
      </c>
      <c r="J707" s="26">
        <f t="shared" si="689"/>
        <v>0</v>
      </c>
      <c r="K707" s="26">
        <f t="shared" si="689"/>
        <v>0</v>
      </c>
      <c r="L707" s="26"/>
      <c r="M707" s="26"/>
    </row>
    <row r="708" spans="1:13" hidden="1" outlineLevel="2">
      <c r="A708" s="2" t="str">
        <f ca="1">OFFSET(Язык!$A$337,0,LANGUAGE)</f>
        <v xml:space="preserve">    площадь к налогообложению</v>
      </c>
      <c r="B708" s="7">
        <v>1000</v>
      </c>
      <c r="C708" s="6" t="s">
        <v>239</v>
      </c>
      <c r="F708" s="26"/>
      <c r="G708" s="26">
        <f>B708</f>
        <v>1000</v>
      </c>
      <c r="H708" s="26">
        <f t="shared" si="689"/>
        <v>1000</v>
      </c>
      <c r="I708" s="26">
        <f t="shared" si="689"/>
        <v>1000</v>
      </c>
      <c r="J708" s="26">
        <f t="shared" si="689"/>
        <v>1000</v>
      </c>
      <c r="K708" s="26">
        <f t="shared" si="689"/>
        <v>1000</v>
      </c>
      <c r="L708" s="26"/>
      <c r="M708" s="26"/>
    </row>
    <row r="709" spans="1:13" hidden="1" outlineLevel="2">
      <c r="A709" s="2" t="str">
        <f ca="1">OFFSET(Язык!$A$338,0,LANGUAGE)</f>
        <v xml:space="preserve">    период уплаты</v>
      </c>
      <c r="B709" s="7">
        <v>90</v>
      </c>
      <c r="C709" s="6" t="str">
        <f ca="1">OFFSET(Язык!$A$368,0,LANGUAGE)</f>
        <v>дней</v>
      </c>
      <c r="D709" s="2" t="s">
        <v>1746</v>
      </c>
      <c r="F709" s="26"/>
      <c r="G709" s="26">
        <f>B709</f>
        <v>90</v>
      </c>
      <c r="H709" s="26">
        <f t="shared" si="689"/>
        <v>90</v>
      </c>
      <c r="I709" s="26">
        <f t="shared" si="689"/>
        <v>90</v>
      </c>
      <c r="J709" s="26">
        <f t="shared" si="689"/>
        <v>90</v>
      </c>
      <c r="K709" s="26">
        <f t="shared" si="689"/>
        <v>90</v>
      </c>
      <c r="L709" s="26"/>
      <c r="M709" s="26"/>
    </row>
    <row r="710" spans="1:13" outlineLevel="1" collapsed="1">
      <c r="A710" s="32" t="str">
        <f ca="1">OFFSET(Язык!$A$339,0,LANGUAGE)</f>
        <v>Другие налоги, относимые на текущие затраты</v>
      </c>
      <c r="B710" s="63"/>
      <c r="C710" s="71" t="str">
        <f ca="1">CUR_Main</f>
        <v>$</v>
      </c>
      <c r="D710" s="32"/>
      <c r="E710" s="32"/>
      <c r="F710" s="62"/>
      <c r="G710" s="62">
        <f t="shared" ref="G710:J710" si="690">G711+G714</f>
        <v>0</v>
      </c>
      <c r="H710" s="62">
        <f t="shared" si="690"/>
        <v>0</v>
      </c>
      <c r="I710" s="62">
        <f t="shared" si="690"/>
        <v>0</v>
      </c>
      <c r="J710" s="62">
        <f t="shared" si="690"/>
        <v>0</v>
      </c>
      <c r="K710" s="62">
        <f t="shared" ref="K710" si="691">K711+K714</f>
        <v>0</v>
      </c>
      <c r="L710" s="62"/>
      <c r="M710" s="27">
        <f>SUM(F710:K710)</f>
        <v>0</v>
      </c>
    </row>
    <row r="711" spans="1:13" hidden="1" outlineLevel="2">
      <c r="A711" s="2" t="str">
        <f ca="1">OFFSET(Язык!$A$340,0,LANGUAGE)</f>
        <v>Другие налоги с продаж</v>
      </c>
      <c r="F711" s="26"/>
      <c r="G711" s="26">
        <f t="shared" ref="G711:J711" si="692">G173*G712</f>
        <v>0</v>
      </c>
      <c r="H711" s="26">
        <f t="shared" si="692"/>
        <v>0</v>
      </c>
      <c r="I711" s="26">
        <f t="shared" si="692"/>
        <v>0</v>
      </c>
      <c r="J711" s="26">
        <f t="shared" si="692"/>
        <v>0</v>
      </c>
      <c r="K711" s="26">
        <f t="shared" ref="K711" si="693">K173*K712</f>
        <v>0</v>
      </c>
      <c r="L711" s="26"/>
      <c r="M711" s="30">
        <f>SUM(F711:K711)</f>
        <v>0</v>
      </c>
    </row>
    <row r="712" spans="1:13" hidden="1" outlineLevel="2">
      <c r="A712" s="2" t="str">
        <f ca="1">OFFSET(Язык!$A$341,0,LANGUAGE)</f>
        <v xml:space="preserve">    ставка</v>
      </c>
      <c r="B712" s="64">
        <v>0</v>
      </c>
      <c r="D712" s="2" t="s">
        <v>1746</v>
      </c>
      <c r="F712" s="26"/>
      <c r="G712" s="66">
        <f>B712</f>
        <v>0</v>
      </c>
      <c r="H712" s="66">
        <f t="shared" ref="H712:K713" si="694">G712</f>
        <v>0</v>
      </c>
      <c r="I712" s="66">
        <f t="shared" si="694"/>
        <v>0</v>
      </c>
      <c r="J712" s="66">
        <f t="shared" si="694"/>
        <v>0</v>
      </c>
      <c r="K712" s="66">
        <f t="shared" si="694"/>
        <v>0</v>
      </c>
      <c r="L712" s="26"/>
      <c r="M712" s="26"/>
    </row>
    <row r="713" spans="1:13" hidden="1" outlineLevel="2">
      <c r="A713" s="2" t="str">
        <f ca="1">OFFSET(Язык!$A$342,0,LANGUAGE)</f>
        <v xml:space="preserve">    период уплаты</v>
      </c>
      <c r="B713" s="7">
        <v>90</v>
      </c>
      <c r="C713" s="6" t="str">
        <f ca="1">OFFSET(Язык!$A$368,0,LANGUAGE)</f>
        <v>дней</v>
      </c>
      <c r="D713" s="2" t="s">
        <v>1746</v>
      </c>
      <c r="F713" s="26"/>
      <c r="G713" s="26">
        <f>B713</f>
        <v>90</v>
      </c>
      <c r="H713" s="26">
        <f t="shared" si="694"/>
        <v>90</v>
      </c>
      <c r="I713" s="26">
        <f t="shared" si="694"/>
        <v>90</v>
      </c>
      <c r="J713" s="26">
        <f t="shared" si="694"/>
        <v>90</v>
      </c>
      <c r="K713" s="26">
        <f t="shared" si="694"/>
        <v>90</v>
      </c>
      <c r="L713" s="26"/>
      <c r="M713" s="26"/>
    </row>
    <row r="714" spans="1:13" hidden="1" outlineLevel="2">
      <c r="A714" s="5" t="s">
        <v>1974</v>
      </c>
      <c r="F714" s="26"/>
      <c r="G714" s="26">
        <f t="shared" ref="G714:J714" si="695">G715*G716</f>
        <v>0</v>
      </c>
      <c r="H714" s="26">
        <f t="shared" si="695"/>
        <v>0</v>
      </c>
      <c r="I714" s="26">
        <f t="shared" si="695"/>
        <v>0</v>
      </c>
      <c r="J714" s="26">
        <f t="shared" si="695"/>
        <v>0</v>
      </c>
      <c r="K714" s="26">
        <f t="shared" ref="K714" si="696">K715*K716</f>
        <v>0</v>
      </c>
      <c r="L714" s="26"/>
      <c r="M714" s="30">
        <f>SUM(F714:K714)</f>
        <v>0</v>
      </c>
    </row>
    <row r="715" spans="1:13" hidden="1" outlineLevel="2">
      <c r="A715" s="2" t="str">
        <f ca="1">OFFSET(Язык!$A$343,0,LANGUAGE)</f>
        <v xml:space="preserve">    налогооблагаемая база</v>
      </c>
      <c r="C715" s="6" t="str">
        <f ca="1">CUR_Main</f>
        <v>$</v>
      </c>
      <c r="F715" s="26"/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26"/>
      <c r="M715" s="26"/>
    </row>
    <row r="716" spans="1:13" hidden="1" outlineLevel="2">
      <c r="A716" s="2" t="str">
        <f ca="1">OFFSET(Язык!$A$344,0,LANGUAGE)</f>
        <v xml:space="preserve">    ставка</v>
      </c>
      <c r="B716" s="64">
        <v>0</v>
      </c>
      <c r="D716" s="2" t="s">
        <v>1746</v>
      </c>
      <c r="F716" s="26"/>
      <c r="G716" s="66">
        <f>B716</f>
        <v>0</v>
      </c>
      <c r="H716" s="66">
        <f t="shared" ref="H716:K717" si="697">G716</f>
        <v>0</v>
      </c>
      <c r="I716" s="66">
        <f t="shared" si="697"/>
        <v>0</v>
      </c>
      <c r="J716" s="66">
        <f t="shared" si="697"/>
        <v>0</v>
      </c>
      <c r="K716" s="66">
        <f t="shared" si="697"/>
        <v>0</v>
      </c>
      <c r="L716" s="26"/>
      <c r="M716" s="26"/>
    </row>
    <row r="717" spans="1:13" hidden="1" outlineLevel="2">
      <c r="A717" s="2" t="str">
        <f ca="1">OFFSET(Язык!$A$345,0,LANGUAGE)</f>
        <v xml:space="preserve">    период уплаты</v>
      </c>
      <c r="B717" s="7">
        <v>90</v>
      </c>
      <c r="C717" s="6" t="str">
        <f ca="1">OFFSET(Язык!$A$368,0,LANGUAGE)</f>
        <v>дней</v>
      </c>
      <c r="D717" s="2" t="s">
        <v>1746</v>
      </c>
      <c r="F717" s="26"/>
      <c r="G717" s="26">
        <f>B717</f>
        <v>90</v>
      </c>
      <c r="H717" s="26">
        <f t="shared" si="697"/>
        <v>90</v>
      </c>
      <c r="I717" s="26">
        <f t="shared" si="697"/>
        <v>90</v>
      </c>
      <c r="J717" s="26">
        <f t="shared" si="697"/>
        <v>90</v>
      </c>
      <c r="K717" s="26">
        <f t="shared" si="697"/>
        <v>90</v>
      </c>
      <c r="L717" s="26"/>
      <c r="M717" s="26"/>
    </row>
    <row r="718" spans="1:13" outlineLevel="1">
      <c r="A718" s="43"/>
      <c r="F718" s="26"/>
      <c r="G718" s="26"/>
      <c r="H718" s="26"/>
      <c r="I718" s="26"/>
      <c r="J718" s="26"/>
      <c r="K718" s="26"/>
      <c r="L718" s="26"/>
      <c r="M718" s="26"/>
    </row>
    <row r="719" spans="1:13" outlineLevel="1">
      <c r="A719" s="37" t="str">
        <f ca="1">OFFSET(Язык!$A$346,0,LANGUAGE)</f>
        <v>3. НАЛОГИ, ОТНОСИМЫЕ НА ФИНАНСОВЫЕ РЕЗУЛЬТАТЫ</v>
      </c>
      <c r="B719" s="67"/>
      <c r="C719" s="67"/>
      <c r="D719" s="68"/>
      <c r="E719" s="68"/>
      <c r="F719" s="69"/>
      <c r="G719" s="69"/>
      <c r="H719" s="69"/>
      <c r="I719" s="69"/>
      <c r="J719" s="69"/>
      <c r="K719" s="69"/>
      <c r="L719" s="69"/>
      <c r="M719" s="69"/>
    </row>
    <row r="720" spans="1:13" outlineLevel="1">
      <c r="F720" s="26"/>
      <c r="G720" s="26"/>
      <c r="H720" s="26"/>
      <c r="I720" s="26"/>
      <c r="J720" s="26"/>
      <c r="K720" s="26"/>
      <c r="L720" s="26"/>
      <c r="M720" s="26"/>
    </row>
    <row r="721" spans="1:13" outlineLevel="1" collapsed="1">
      <c r="A721" s="32" t="str">
        <f ca="1">OFFSET(Язык!$A$347,0,LANGUAGE)</f>
        <v>Налог на имущество</v>
      </c>
      <c r="B721" s="63"/>
      <c r="C721" s="71" t="str">
        <f ca="1">CUR_Main</f>
        <v>$</v>
      </c>
      <c r="D721" s="32"/>
      <c r="E721" s="32"/>
      <c r="F721" s="62"/>
      <c r="G721" s="62">
        <f t="shared" ref="G721:J721" ca="1" si="698">(G722-G723)*G724*PRJ_Step/360</f>
        <v>0</v>
      </c>
      <c r="H721" s="62">
        <f t="shared" ca="1" si="698"/>
        <v>25204.584821428572</v>
      </c>
      <c r="I721" s="62">
        <f t="shared" ca="1" si="698"/>
        <v>47072.683035714275</v>
      </c>
      <c r="J721" s="62">
        <f t="shared" ca="1" si="698"/>
        <v>40399.709821428565</v>
      </c>
      <c r="K721" s="62">
        <f t="shared" ref="K721" ca="1" si="699">(K722-K723)*K724*PRJ_Step/360</f>
        <v>33726.736607142848</v>
      </c>
      <c r="L721" s="62"/>
      <c r="M721" s="27">
        <f ca="1">SUM(F721:K721)</f>
        <v>146403.71428571426</v>
      </c>
    </row>
    <row r="722" spans="1:13" hidden="1" outlineLevel="2">
      <c r="A722" s="2" t="str">
        <f ca="1">OFFSET(Язык!$A$348,0,LANGUAGE)</f>
        <v xml:space="preserve">    средняя стоимость имущества за период</v>
      </c>
      <c r="D722" s="2" t="s">
        <v>1746</v>
      </c>
      <c r="F722" s="26"/>
      <c r="G722" s="25">
        <f t="shared" ref="G722:K722" ca="1" si="700">((G467+G479+G528+G455)+(F467+F479+F528+F455))/2</f>
        <v>0</v>
      </c>
      <c r="H722" s="25">
        <f t="shared" ca="1" si="700"/>
        <v>1145662.9464285714</v>
      </c>
      <c r="I722" s="25">
        <f t="shared" ca="1" si="700"/>
        <v>2139667.4107142854</v>
      </c>
      <c r="J722" s="25">
        <f t="shared" ca="1" si="700"/>
        <v>1836350.4464285711</v>
      </c>
      <c r="K722" s="25">
        <f t="shared" ca="1" si="700"/>
        <v>1533033.4821428568</v>
      </c>
      <c r="L722" s="26"/>
      <c r="M722" s="26"/>
    </row>
    <row r="723" spans="1:13" hidden="1" outlineLevel="2">
      <c r="A723" s="2" t="str">
        <f ca="1">OFFSET(Язык!$A$349,0,LANGUAGE)</f>
        <v xml:space="preserve">    стоимость имущества, освобождаемого от налога</v>
      </c>
      <c r="D723" s="2" t="s">
        <v>1746</v>
      </c>
      <c r="F723" s="26"/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26"/>
      <c r="M723" s="26"/>
    </row>
    <row r="724" spans="1:13" hidden="1" outlineLevel="2">
      <c r="A724" s="2" t="str">
        <f ca="1">OFFSET(Язык!$A$350,0,LANGUAGE)</f>
        <v xml:space="preserve">    ставка</v>
      </c>
      <c r="B724" s="64">
        <v>2.1999999999999999E-2</v>
      </c>
      <c r="D724" s="2" t="s">
        <v>1746</v>
      </c>
      <c r="F724" s="26"/>
      <c r="G724" s="66">
        <f>B724</f>
        <v>2.1999999999999999E-2</v>
      </c>
      <c r="H724" s="66">
        <f t="shared" ref="H724:K725" si="701">G724</f>
        <v>2.1999999999999999E-2</v>
      </c>
      <c r="I724" s="66">
        <f t="shared" si="701"/>
        <v>2.1999999999999999E-2</v>
      </c>
      <c r="J724" s="66">
        <f t="shared" si="701"/>
        <v>2.1999999999999999E-2</v>
      </c>
      <c r="K724" s="66">
        <f t="shared" si="701"/>
        <v>2.1999999999999999E-2</v>
      </c>
      <c r="L724" s="26"/>
      <c r="M724" s="26"/>
    </row>
    <row r="725" spans="1:13" hidden="1" outlineLevel="2">
      <c r="A725" s="2" t="str">
        <f ca="1">OFFSET(Язык!$A$351,0,LANGUAGE)</f>
        <v xml:space="preserve">    период уплаты</v>
      </c>
      <c r="B725" s="7">
        <v>90</v>
      </c>
      <c r="C725" s="6" t="str">
        <f ca="1">OFFSET(Язык!$A$368,0,LANGUAGE)</f>
        <v>дней</v>
      </c>
      <c r="D725" s="2" t="s">
        <v>1746</v>
      </c>
      <c r="F725" s="26"/>
      <c r="G725" s="26">
        <f>B725</f>
        <v>90</v>
      </c>
      <c r="H725" s="26">
        <f t="shared" si="701"/>
        <v>90</v>
      </c>
      <c r="I725" s="26">
        <f t="shared" si="701"/>
        <v>90</v>
      </c>
      <c r="J725" s="26">
        <f t="shared" si="701"/>
        <v>90</v>
      </c>
      <c r="K725" s="26">
        <f t="shared" si="701"/>
        <v>90</v>
      </c>
      <c r="L725" s="26"/>
      <c r="M725" s="26"/>
    </row>
    <row r="726" spans="1:13" outlineLevel="1" collapsed="1">
      <c r="A726" s="32" t="str">
        <f ca="1">OFFSET(Язык!$A$352,0,LANGUAGE)</f>
        <v>Другие налоги, относимые на финансовые результаты</v>
      </c>
      <c r="B726" s="63"/>
      <c r="C726" s="71" t="str">
        <f ca="1">CUR_Main</f>
        <v>$</v>
      </c>
      <c r="D726" s="32"/>
      <c r="E726" s="32"/>
      <c r="F726" s="62"/>
      <c r="G726" s="62">
        <f t="shared" ref="G726:J726" si="702">G728*G729</f>
        <v>0</v>
      </c>
      <c r="H726" s="62">
        <f t="shared" si="702"/>
        <v>0</v>
      </c>
      <c r="I726" s="62">
        <f t="shared" si="702"/>
        <v>0</v>
      </c>
      <c r="J726" s="62">
        <f t="shared" si="702"/>
        <v>0</v>
      </c>
      <c r="K726" s="62">
        <f t="shared" ref="K726" si="703">K728*K729</f>
        <v>0</v>
      </c>
      <c r="L726" s="62"/>
      <c r="M726" s="27">
        <f>SUM(F726:K726)</f>
        <v>0</v>
      </c>
    </row>
    <row r="727" spans="1:13" hidden="1" outlineLevel="2">
      <c r="A727" s="5" t="s">
        <v>1974</v>
      </c>
      <c r="F727" s="26"/>
      <c r="G727" s="26"/>
      <c r="H727" s="26"/>
      <c r="I727" s="26"/>
      <c r="J727" s="26"/>
      <c r="K727" s="26"/>
      <c r="L727" s="26"/>
      <c r="M727" s="30"/>
    </row>
    <row r="728" spans="1:13" hidden="1" outlineLevel="2">
      <c r="A728" s="2" t="str">
        <f ca="1">OFFSET(Язык!$A$353,0,LANGUAGE)</f>
        <v xml:space="preserve">    налогооблагаемая база</v>
      </c>
      <c r="F728" s="26"/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26"/>
      <c r="M728" s="26"/>
    </row>
    <row r="729" spans="1:13" hidden="1" outlineLevel="2">
      <c r="A729" s="2" t="str">
        <f ca="1">OFFSET(Язык!$A$354,0,LANGUAGE)</f>
        <v xml:space="preserve">    ставка</v>
      </c>
      <c r="B729" s="64">
        <v>0</v>
      </c>
      <c r="D729" s="2" t="s">
        <v>1746</v>
      </c>
      <c r="F729" s="26"/>
      <c r="G729" s="66">
        <f>B729</f>
        <v>0</v>
      </c>
      <c r="H729" s="66">
        <f t="shared" ref="H729:K730" si="704">G729</f>
        <v>0</v>
      </c>
      <c r="I729" s="66">
        <f t="shared" si="704"/>
        <v>0</v>
      </c>
      <c r="J729" s="66">
        <f t="shared" si="704"/>
        <v>0</v>
      </c>
      <c r="K729" s="66">
        <f t="shared" si="704"/>
        <v>0</v>
      </c>
      <c r="L729" s="26"/>
      <c r="M729" s="26"/>
    </row>
    <row r="730" spans="1:13" hidden="1" outlineLevel="2">
      <c r="A730" s="2" t="str">
        <f ca="1">OFFSET(Язык!$A$355,0,LANGUAGE)</f>
        <v xml:space="preserve">    период уплаты</v>
      </c>
      <c r="B730" s="7">
        <v>90</v>
      </c>
      <c r="C730" s="6" t="str">
        <f ca="1">OFFSET(Язык!$A$368,0,LANGUAGE)</f>
        <v>дней</v>
      </c>
      <c r="D730" s="2" t="s">
        <v>1746</v>
      </c>
      <c r="F730" s="26"/>
      <c r="G730" s="26">
        <f>B730</f>
        <v>90</v>
      </c>
      <c r="H730" s="26">
        <f t="shared" si="704"/>
        <v>90</v>
      </c>
      <c r="I730" s="26">
        <f t="shared" si="704"/>
        <v>90</v>
      </c>
      <c r="J730" s="26">
        <f t="shared" si="704"/>
        <v>90</v>
      </c>
      <c r="K730" s="26">
        <f t="shared" si="704"/>
        <v>90</v>
      </c>
      <c r="L730" s="26"/>
      <c r="M730" s="26"/>
    </row>
    <row r="731" spans="1:13" outlineLevel="1">
      <c r="A731" s="43"/>
      <c r="F731" s="26"/>
      <c r="G731" s="26"/>
      <c r="H731" s="26"/>
      <c r="I731" s="26"/>
      <c r="J731" s="26"/>
      <c r="K731" s="26"/>
      <c r="L731" s="26"/>
      <c r="M731" s="26"/>
    </row>
    <row r="732" spans="1:13" outlineLevel="1">
      <c r="A732" s="37" t="str">
        <f ca="1">OFFSET(Язык!$A$356,0,LANGUAGE)</f>
        <v>4. НАЛОГ НА ПРИБЫЛЬ</v>
      </c>
      <c r="B732" s="67"/>
      <c r="C732" s="67"/>
      <c r="D732" s="68"/>
      <c r="E732" s="68"/>
      <c r="F732" s="69"/>
      <c r="G732" s="69"/>
      <c r="H732" s="69"/>
      <c r="I732" s="69"/>
      <c r="J732" s="69"/>
      <c r="K732" s="69"/>
      <c r="L732" s="69"/>
      <c r="M732" s="69"/>
    </row>
    <row r="733" spans="1:13" outlineLevel="1">
      <c r="F733" s="26"/>
      <c r="G733" s="26"/>
      <c r="H733" s="26"/>
      <c r="I733" s="26"/>
      <c r="J733" s="26"/>
      <c r="K733" s="26"/>
      <c r="L733" s="26"/>
      <c r="M733" s="26"/>
    </row>
    <row r="734" spans="1:13" outlineLevel="1">
      <c r="A734" s="2" t="str">
        <f ca="1">OFFSET(Язык!$A$357,0,LANGUAGE)</f>
        <v xml:space="preserve">    ставка</v>
      </c>
      <c r="B734" s="64">
        <v>0.2</v>
      </c>
      <c r="D734" s="2" t="s">
        <v>1746</v>
      </c>
      <c r="F734" s="26"/>
      <c r="G734" s="75">
        <f>ProfitTax</f>
        <v>0.2</v>
      </c>
      <c r="H734" s="75">
        <f t="shared" ref="H734:K734" si="705">G734</f>
        <v>0.2</v>
      </c>
      <c r="I734" s="75">
        <f t="shared" si="705"/>
        <v>0.2</v>
      </c>
      <c r="J734" s="75">
        <f t="shared" si="705"/>
        <v>0.2</v>
      </c>
      <c r="K734" s="75">
        <f t="shared" si="705"/>
        <v>0.2</v>
      </c>
      <c r="L734" s="26"/>
      <c r="M734" s="26"/>
    </row>
    <row r="735" spans="1:13" outlineLevel="1">
      <c r="A735" s="2" t="str">
        <f ca="1">OFFSET(Язык!$A$358,0,LANGUAGE)</f>
        <v xml:space="preserve">    период уплаты</v>
      </c>
      <c r="B735" s="7">
        <v>360</v>
      </c>
      <c r="C735" s="29" t="str">
        <f ca="1">OFFSET(Язык!$A$368,0,LANGUAGE)</f>
        <v>дней</v>
      </c>
      <c r="D735" s="2" t="s">
        <v>1746</v>
      </c>
      <c r="F735" s="26"/>
      <c r="G735" s="26"/>
      <c r="H735" s="26"/>
      <c r="I735" s="26"/>
      <c r="J735" s="26"/>
      <c r="K735" s="26"/>
      <c r="L735" s="26"/>
      <c r="M735" s="26"/>
    </row>
    <row r="736" spans="1:13" outlineLevel="1" collapsed="1">
      <c r="A736" s="32" t="str">
        <f ca="1">OFFSET(Язык!$A$359,0,LANGUAGE)</f>
        <v>Начисленный налог на прибыль</v>
      </c>
      <c r="B736" s="63"/>
      <c r="C736" s="71" t="str">
        <f t="shared" ref="C736:C743" ca="1" si="706">CUR_Main</f>
        <v>$</v>
      </c>
      <c r="D736" s="32"/>
      <c r="E736" s="32"/>
      <c r="F736" s="62"/>
      <c r="G736" s="62">
        <f t="shared" ref="G736:J736" ca="1" si="707">G743*G734</f>
        <v>110353.80714285714</v>
      </c>
      <c r="H736" s="62">
        <f t="shared" ca="1" si="707"/>
        <v>197159.25017857153</v>
      </c>
      <c r="I736" s="62">
        <f t="shared" ca="1" si="707"/>
        <v>170393.81853571447</v>
      </c>
      <c r="J736" s="62">
        <f t="shared" ca="1" si="707"/>
        <v>228356.3879785717</v>
      </c>
      <c r="K736" s="62">
        <f t="shared" ref="K736" ca="1" si="708">K743*K734</f>
        <v>289153.75490142882</v>
      </c>
      <c r="L736" s="62"/>
      <c r="M736" s="27">
        <f ca="1">SUM(F736:K736)</f>
        <v>995417.01873714372</v>
      </c>
    </row>
    <row r="737" spans="1:13" hidden="1" outlineLevel="2">
      <c r="A737" s="2" t="str">
        <f ca="1">OFFSET(Язык!$A$360,0,LANGUAGE)</f>
        <v xml:space="preserve">    прибыль до налогообложения</v>
      </c>
      <c r="C737" s="71" t="str">
        <f t="shared" ca="1" si="706"/>
        <v>$</v>
      </c>
      <c r="F737" s="26"/>
      <c r="G737" s="26">
        <f t="shared" ref="G737:J737" ca="1" si="709">G767*IF(CUR_I_Report=2,G$98,1)</f>
        <v>551769.03571428568</v>
      </c>
      <c r="H737" s="26">
        <f t="shared" ca="1" si="709"/>
        <v>985796.25089285756</v>
      </c>
      <c r="I737" s="26">
        <f t="shared" ca="1" si="709"/>
        <v>851969.09267857228</v>
      </c>
      <c r="J737" s="26">
        <f t="shared" ca="1" si="709"/>
        <v>1141781.9398928585</v>
      </c>
      <c r="K737" s="26">
        <f t="shared" ref="K737" ca="1" si="710">K767*IF(CUR_I_Report=2,K$98,1)</f>
        <v>1445768.774507144</v>
      </c>
      <c r="L737" s="26"/>
      <c r="M737" s="30">
        <f ca="1">SUM(F737:K737)</f>
        <v>4977085.0936857183</v>
      </c>
    </row>
    <row r="738" spans="1:13" hidden="1" outlineLevel="2">
      <c r="A738" s="2" t="str">
        <f ca="1">OFFSET(Язык!$A$361,0,LANGUAGE)</f>
        <v xml:space="preserve">    проценты по кредиту, выплачиваемые из прибыли</v>
      </c>
      <c r="C738" s="71" t="str">
        <f t="shared" ca="1" si="706"/>
        <v>$</v>
      </c>
      <c r="F738" s="26"/>
      <c r="G738" s="26">
        <f t="shared" ref="G738:J738" si="711">G632</f>
        <v>0</v>
      </c>
      <c r="H738" s="26">
        <f t="shared" si="711"/>
        <v>0</v>
      </c>
      <c r="I738" s="26">
        <f t="shared" si="711"/>
        <v>0</v>
      </c>
      <c r="J738" s="26">
        <f t="shared" si="711"/>
        <v>0</v>
      </c>
      <c r="K738" s="26">
        <f t="shared" ref="K738" si="712">K632</f>
        <v>0</v>
      </c>
      <c r="L738" s="26"/>
      <c r="M738" s="30">
        <f>SUM(F738:K738)</f>
        <v>0</v>
      </c>
    </row>
    <row r="739" spans="1:13" hidden="1" outlineLevel="2">
      <c r="A739" s="2" t="str">
        <f ca="1">OFFSET(Язык!$A$362,0,LANGUAGE)</f>
        <v xml:space="preserve">    льготы по налогу на прибыль</v>
      </c>
      <c r="C739" s="71" t="str">
        <f t="shared" ca="1" si="706"/>
        <v>$</v>
      </c>
      <c r="F739" s="26"/>
      <c r="G739" s="40">
        <v>0</v>
      </c>
      <c r="H739" s="40"/>
      <c r="I739" s="40"/>
      <c r="J739" s="40"/>
      <c r="K739" s="40"/>
      <c r="L739" s="26"/>
      <c r="M739" s="30">
        <f ca="1">SUM(F740:K740)</f>
        <v>4977085.0936857183</v>
      </c>
    </row>
    <row r="740" spans="1:13" hidden="1" outlineLevel="2">
      <c r="A740" s="2" t="str">
        <f ca="1">OFFSET(Язык!$A$363,0,LANGUAGE)</f>
        <v xml:space="preserve">    накопленная прибыль/убытки текущего года</v>
      </c>
      <c r="C740" s="71" t="str">
        <f t="shared" ca="1" si="706"/>
        <v>$</v>
      </c>
      <c r="D740" s="2" t="s">
        <v>1736</v>
      </c>
      <c r="F740" s="26"/>
      <c r="G740" s="26">
        <f t="shared" ref="G740:K740" ca="1" si="713">IF(YEAR(G29)=YEAR(F29),F740,0)+G737+G738-G739</f>
        <v>551769.03571428568</v>
      </c>
      <c r="H740" s="26">
        <f t="shared" ca="1" si="713"/>
        <v>985796.25089285756</v>
      </c>
      <c r="I740" s="26">
        <f t="shared" ca="1" si="713"/>
        <v>851969.09267857228</v>
      </c>
      <c r="J740" s="26">
        <f t="shared" ca="1" si="713"/>
        <v>1141781.9398928585</v>
      </c>
      <c r="K740" s="26">
        <f t="shared" ca="1" si="713"/>
        <v>1445768.774507144</v>
      </c>
      <c r="L740" s="26"/>
      <c r="M740" s="26"/>
    </row>
    <row r="741" spans="1:13" hidden="1" outlineLevel="2">
      <c r="A741" s="2" t="str">
        <f ca="1">OFFSET(Язык!$A$364,0,LANGUAGE)</f>
        <v xml:space="preserve">    убытки предыдущих лет (на начало периода)</v>
      </c>
      <c r="C741" s="71" t="str">
        <f t="shared" ca="1" si="706"/>
        <v>$</v>
      </c>
      <c r="F741" s="26"/>
      <c r="G741" s="26">
        <f t="shared" ref="G741:K741" si="714">IF(YEAR(G29)&gt;YEAR(F29),MIN(F740,0),0)+F741-F742</f>
        <v>0</v>
      </c>
      <c r="H741" s="26">
        <f t="shared" ca="1" si="714"/>
        <v>0</v>
      </c>
      <c r="I741" s="26">
        <f t="shared" ca="1" si="714"/>
        <v>0</v>
      </c>
      <c r="J741" s="26">
        <f t="shared" ca="1" si="714"/>
        <v>0</v>
      </c>
      <c r="K741" s="26">
        <f t="shared" ca="1" si="714"/>
        <v>0</v>
      </c>
      <c r="L741" s="26"/>
      <c r="M741" s="26"/>
    </row>
    <row r="742" spans="1:13" hidden="1" outlineLevel="2">
      <c r="A742" s="2" t="str">
        <f ca="1">OFFSET(Язык!$A$365,0,LANGUAGE)</f>
        <v xml:space="preserve">    списано убытков предыдущих лет</v>
      </c>
      <c r="C742" s="71" t="str">
        <f t="shared" ca="1" si="706"/>
        <v>$</v>
      </c>
      <c r="F742" s="26"/>
      <c r="G742" s="26">
        <f t="shared" ref="G742:J742" ca="1" si="715">-IF(MIN(G737+G738-G739,G740)&gt;0,MIN(-G741,MIN(G737+G738-G739,G740)*0.3),0)</f>
        <v>0</v>
      </c>
      <c r="H742" s="26">
        <f t="shared" ca="1" si="715"/>
        <v>0</v>
      </c>
      <c r="I742" s="26">
        <f t="shared" ca="1" si="715"/>
        <v>0</v>
      </c>
      <c r="J742" s="26">
        <f t="shared" ca="1" si="715"/>
        <v>0</v>
      </c>
      <c r="K742" s="26">
        <f t="shared" ref="K742" ca="1" si="716">-IF(MIN(K737+K738-K739,K740)&gt;0,MIN(-K741,MIN(K737+K738-K739,K740)*0.3),0)</f>
        <v>0</v>
      </c>
      <c r="L742" s="26"/>
      <c r="M742" s="26"/>
    </row>
    <row r="743" spans="1:13" hidden="1" outlineLevel="2">
      <c r="A743" s="2" t="str">
        <f ca="1">OFFSET(Язык!$A$366,0,LANGUAGE)</f>
        <v xml:space="preserve">    прибыль, на которую начисляется налог</v>
      </c>
      <c r="C743" s="71" t="str">
        <f t="shared" ca="1" si="706"/>
        <v>$</v>
      </c>
      <c r="F743" s="26"/>
      <c r="G743" s="26">
        <f t="shared" ref="G743:J743" ca="1" si="717">IF(G740&gt;0,G737+G738-G739+G742,0)</f>
        <v>551769.03571428568</v>
      </c>
      <c r="H743" s="26">
        <f t="shared" ca="1" si="717"/>
        <v>985796.25089285756</v>
      </c>
      <c r="I743" s="26">
        <f t="shared" ca="1" si="717"/>
        <v>851969.09267857228</v>
      </c>
      <c r="J743" s="26">
        <f t="shared" ca="1" si="717"/>
        <v>1141781.9398928585</v>
      </c>
      <c r="K743" s="26">
        <f t="shared" ref="K743" ca="1" si="718">IF(K740&gt;0,K737+K738-K739+K742,0)</f>
        <v>1445768.774507144</v>
      </c>
      <c r="L743" s="26"/>
      <c r="M743" s="26"/>
    </row>
    <row r="744" spans="1:13" outlineLevel="1">
      <c r="F744" s="26"/>
      <c r="G744" s="26"/>
      <c r="H744" s="26"/>
      <c r="I744" s="26"/>
      <c r="J744" s="26"/>
      <c r="K744" s="26"/>
      <c r="L744" s="26"/>
      <c r="M744" s="26"/>
    </row>
    <row r="745" spans="1:13" outlineLevel="1">
      <c r="A745" s="43" t="str">
        <f ca="1">OFFSET(Язык!$A$367,0,LANGUAGE)</f>
        <v>Суммарные налоговые выплаты</v>
      </c>
      <c r="B745" s="41"/>
      <c r="C745" s="41"/>
      <c r="D745" s="43"/>
      <c r="E745" s="43"/>
      <c r="F745" s="57">
        <f ca="1">F673+F674+F691+F699+F706+F710+F721+F726</f>
        <v>0</v>
      </c>
      <c r="G745" s="57">
        <f t="shared" ref="G745:J745" ca="1" si="719">G673+G674+G691+G699+G706+G710+G721+G726+G736</f>
        <v>209009.77142857143</v>
      </c>
      <c r="H745" s="57">
        <f t="shared" ca="1" si="719"/>
        <v>135728.89214285734</v>
      </c>
      <c r="I745" s="57">
        <f t="shared" ca="1" si="719"/>
        <v>551301.76157142885</v>
      </c>
      <c r="J745" s="57">
        <f t="shared" ca="1" si="719"/>
        <v>635974.88380000042</v>
      </c>
      <c r="K745" s="57">
        <f t="shared" ref="K745" ca="1" si="720">K673+K674+K691+K699+K706+K710+K721+K726+K736</f>
        <v>726821.1561085718</v>
      </c>
      <c r="L745" s="57"/>
      <c r="M745" s="58">
        <f ca="1">SUM(F745:K745)</f>
        <v>2258836.4650514298</v>
      </c>
    </row>
    <row r="746" spans="1:13" outlineLevel="1">
      <c r="F746" s="26"/>
      <c r="G746" s="26"/>
      <c r="H746" s="26"/>
      <c r="I746" s="26"/>
      <c r="J746" s="26"/>
      <c r="K746" s="26"/>
      <c r="L746" s="26"/>
      <c r="M746" s="26"/>
    </row>
    <row r="747" spans="1:13" ht="12" outlineLevel="1" thickBot="1"/>
    <row r="748" spans="1:13" ht="15.95" customHeight="1" thickTop="1" thickBot="1">
      <c r="A748" s="18" t="str">
        <f ca="1">OFFSET(Язык!$A$375,0,LANGUAGE)</f>
        <v>ОТЧЕТ О ПРИБЫЛЯХ И УБЫТКАХ</v>
      </c>
      <c r="B748" s="23"/>
      <c r="C748" s="19"/>
      <c r="D748" s="18"/>
      <c r="E748" s="18"/>
      <c r="F748" s="19" t="str">
        <f t="shared" ref="F748:K748" si="721">PeriodTitle</f>
        <v>"0"</v>
      </c>
      <c r="G748" s="19">
        <f t="shared" si="721"/>
        <v>2013</v>
      </c>
      <c r="H748" s="19">
        <f t="shared" si="721"/>
        <v>2014</v>
      </c>
      <c r="I748" s="19">
        <f t="shared" si="721"/>
        <v>2015</v>
      </c>
      <c r="J748" s="19">
        <f t="shared" si="721"/>
        <v>2016</v>
      </c>
      <c r="K748" s="19">
        <f t="shared" si="721"/>
        <v>2017</v>
      </c>
      <c r="L748" s="19"/>
      <c r="M748" s="23" t="str">
        <f ca="1">OFFSET(Язык!$A$77,0,LANGUAGE)</f>
        <v>ИТОГО</v>
      </c>
    </row>
    <row r="749" spans="1:13" ht="12" outlineLevel="1" thickTop="1"/>
    <row r="750" spans="1:13" outlineLevel="1">
      <c r="A750" s="32" t="str">
        <f ca="1">OFFSET(Язык!$A$376,0,LANGUAGE)</f>
        <v>Выручка (нетто)</v>
      </c>
      <c r="C750" s="6">
        <f t="shared" ref="C750:C772" si="722">CUR_Report</f>
        <v>0</v>
      </c>
      <c r="G750" s="26">
        <f t="shared" ref="G750:J750" si="723">(G173-G174)/IF(CUR_I_Report=2,G$98,1)</f>
        <v>2272098.2142857141</v>
      </c>
      <c r="H750" s="26">
        <f t="shared" si="723"/>
        <v>4998616.0714285718</v>
      </c>
      <c r="I750" s="26">
        <f t="shared" si="723"/>
        <v>5498477.6785714291</v>
      </c>
      <c r="J750" s="26">
        <f t="shared" si="723"/>
        <v>6048325.4464285728</v>
      </c>
      <c r="K750" s="26">
        <f t="shared" ref="K750" si="724">(K173-K174)/IF(CUR_I_Report=2,K$98,1)</f>
        <v>6653157.991071431</v>
      </c>
      <c r="L750" s="26"/>
      <c r="M750" s="30">
        <f>SUM(F750:K750)</f>
        <v>25470675.401785716</v>
      </c>
    </row>
    <row r="751" spans="1:13" outlineLevel="1" collapsed="1">
      <c r="A751" s="47" t="str">
        <f ca="1">OFFSET(Язык!$A$377,0,LANGUAGE)</f>
        <v xml:space="preserve"> -  Себестоимость проданных товаров</v>
      </c>
      <c r="C751" s="6">
        <f t="shared" si="722"/>
        <v>0</v>
      </c>
      <c r="G751" s="26">
        <f t="shared" ref="G751:J751" ca="1" si="725">SUM(G752:G757)</f>
        <v>1407829.1785714284</v>
      </c>
      <c r="H751" s="26">
        <f t="shared" ca="1" si="725"/>
        <v>3237025.2357142856</v>
      </c>
      <c r="I751" s="26">
        <f t="shared" ca="1" si="725"/>
        <v>3950270.9028571425</v>
      </c>
      <c r="J751" s="26">
        <f t="shared" ca="1" si="725"/>
        <v>4314966.2967142854</v>
      </c>
      <c r="K751" s="26">
        <f t="shared" ref="K751" ca="1" si="726">SUM(K752:K757)</f>
        <v>4716131.2299571438</v>
      </c>
      <c r="L751" s="26"/>
      <c r="M751" s="30">
        <f t="shared" ref="M751:M771" ca="1" si="727">SUM(F751:K751)</f>
        <v>17626222.843814284</v>
      </c>
    </row>
    <row r="752" spans="1:13" hidden="1" outlineLevel="2">
      <c r="A752" s="47" t="str">
        <f ca="1">OFFSET(Язык!$A$378,0,LANGUAGE)</f>
        <v xml:space="preserve">    материалы и комплектующие</v>
      </c>
      <c r="C752" s="6">
        <f t="shared" si="722"/>
        <v>0</v>
      </c>
      <c r="G752" s="26">
        <f t="shared" ref="G752:J752" si="728">G258/IF(CUR_I_Report=2,G$98,1)</f>
        <v>1305803.5714285714</v>
      </c>
      <c r="H752" s="26">
        <f t="shared" si="728"/>
        <v>2872767.8571428568</v>
      </c>
      <c r="I752" s="26">
        <f t="shared" si="728"/>
        <v>3160044.6428571427</v>
      </c>
      <c r="J752" s="26">
        <f t="shared" si="728"/>
        <v>3476049.1071428573</v>
      </c>
      <c r="K752" s="26">
        <f t="shared" ref="K752" si="729">K258/IF(CUR_I_Report=2,K$98,1)</f>
        <v>3823654.0178571437</v>
      </c>
      <c r="L752" s="26"/>
      <c r="M752" s="30">
        <f t="shared" si="727"/>
        <v>14638319.196428573</v>
      </c>
    </row>
    <row r="753" spans="1:13" hidden="1" outlineLevel="2">
      <c r="A753" s="47" t="str">
        <f ca="1">OFFSET(Язык!$A$379,0,LANGUAGE)</f>
        <v xml:space="preserve">    оплата труда</v>
      </c>
      <c r="C753" s="6">
        <f t="shared" si="722"/>
        <v>0</v>
      </c>
      <c r="G753" s="26">
        <f t="shared" ref="G753:J753" ca="1" si="730">(G255+G307+G308+G309+G310)/IF(CUR_I_Report=2,G$98,1)</f>
        <v>78900</v>
      </c>
      <c r="H753" s="26">
        <f t="shared" si="730"/>
        <v>44220</v>
      </c>
      <c r="I753" s="26">
        <f t="shared" ca="1" si="730"/>
        <v>381876</v>
      </c>
      <c r="J753" s="26">
        <f t="shared" ca="1" si="730"/>
        <v>420063.60000000003</v>
      </c>
      <c r="K753" s="26">
        <f t="shared" ref="K753" ca="1" si="731">(K255+K307+K308+K309+K310)/IF(CUR_I_Report=2,K$98,1)</f>
        <v>462069.96</v>
      </c>
      <c r="L753" s="26"/>
      <c r="M753" s="30">
        <f t="shared" ca="1" si="727"/>
        <v>1387129.56</v>
      </c>
    </row>
    <row r="754" spans="1:13" hidden="1" outlineLevel="2">
      <c r="A754" s="47" t="str">
        <f ca="1">OFFSET(Язык!$A$380,0,LANGUAGE)</f>
        <v xml:space="preserve">    налоги, относимые на текущие затраты</v>
      </c>
      <c r="C754" s="6">
        <f t="shared" si="722"/>
        <v>0</v>
      </c>
      <c r="G754" s="26">
        <f t="shared" ref="G754:J754" ca="1" si="732">(G699+G706+G710)/IF(CUR_I_Report=2,G$98,1)</f>
        <v>20514</v>
      </c>
      <c r="H754" s="26">
        <f t="shared" si="732"/>
        <v>11497.2</v>
      </c>
      <c r="I754" s="26">
        <f t="shared" ca="1" si="732"/>
        <v>99287.76</v>
      </c>
      <c r="J754" s="26">
        <f t="shared" ca="1" si="732"/>
        <v>109216.53600000002</v>
      </c>
      <c r="K754" s="26">
        <f t="shared" ref="K754" ca="1" si="733">(K699+K706+K710)/IF(CUR_I_Report=2,K$98,1)</f>
        <v>120138.1896</v>
      </c>
      <c r="L754" s="26"/>
      <c r="M754" s="30">
        <f t="shared" ca="1" si="727"/>
        <v>360653.68560000003</v>
      </c>
    </row>
    <row r="755" spans="1:13" hidden="1" outlineLevel="2">
      <c r="A755" s="47" t="str">
        <f ca="1">OFFSET(Язык!$A$381,0,LANGUAGE)</f>
        <v xml:space="preserve">    производственные расходы</v>
      </c>
      <c r="C755" s="6">
        <f t="shared" si="722"/>
        <v>0</v>
      </c>
      <c r="G755" s="26">
        <f t="shared" ref="G755:J755" si="734">G376/IF(CUR_I_Report=2,G$98,1)</f>
        <v>2611.6071428571431</v>
      </c>
      <c r="H755" s="26">
        <f t="shared" si="734"/>
        <v>5223.2142857142862</v>
      </c>
      <c r="I755" s="26">
        <f t="shared" si="734"/>
        <v>5745.5357142857156</v>
      </c>
      <c r="J755" s="26">
        <f t="shared" si="734"/>
        <v>6320.0892857142871</v>
      </c>
      <c r="K755" s="26">
        <f t="shared" ref="K755" si="735">K376/IF(CUR_I_Report=2,K$98,1)</f>
        <v>6952.0982142857165</v>
      </c>
      <c r="L755" s="26"/>
      <c r="M755" s="30">
        <f t="shared" si="727"/>
        <v>26852.544642857149</v>
      </c>
    </row>
    <row r="756" spans="1:13" hidden="1" outlineLevel="2">
      <c r="A756" s="47" t="str">
        <f ca="1">OFFSET(Язык!$A$382,0,LANGUAGE)</f>
        <v xml:space="preserve">    начисленные лизинговые платежи</v>
      </c>
      <c r="C756" s="6">
        <f t="shared" si="722"/>
        <v>0</v>
      </c>
      <c r="G756" s="26">
        <f t="shared" ref="G756:J756" ca="1" si="736">G520/IF(CUR_I_Report=2,G$98,1)</f>
        <v>0</v>
      </c>
      <c r="H756" s="26">
        <f t="shared" ca="1" si="736"/>
        <v>0</v>
      </c>
      <c r="I756" s="26">
        <f t="shared" ca="1" si="736"/>
        <v>0</v>
      </c>
      <c r="J756" s="26">
        <f t="shared" ca="1" si="736"/>
        <v>0</v>
      </c>
      <c r="K756" s="26">
        <f t="shared" ref="K756" ca="1" si="737">K520/IF(CUR_I_Report=2,K$98,1)</f>
        <v>0</v>
      </c>
      <c r="L756" s="26"/>
      <c r="M756" s="30">
        <f t="shared" ca="1" si="727"/>
        <v>0</v>
      </c>
    </row>
    <row r="757" spans="1:13" hidden="1" outlineLevel="2">
      <c r="A757" s="47" t="str">
        <f ca="1">OFFSET(Язык!$A$383,0,LANGUAGE)</f>
        <v xml:space="preserve">    амортизация</v>
      </c>
      <c r="C757" s="6">
        <f t="shared" si="722"/>
        <v>0</v>
      </c>
      <c r="G757" s="26">
        <f t="shared" ref="G757:J757" ca="1" si="738">(G466+G478+G491+G529)/IF(CUR_I_Report=2,G$98,1)</f>
        <v>0</v>
      </c>
      <c r="H757" s="26">
        <f t="shared" ca="1" si="738"/>
        <v>303316.96428571432</v>
      </c>
      <c r="I757" s="26">
        <f t="shared" ca="1" si="738"/>
        <v>303316.96428571432</v>
      </c>
      <c r="J757" s="26">
        <f t="shared" ca="1" si="738"/>
        <v>303316.96428571432</v>
      </c>
      <c r="K757" s="26">
        <f t="shared" ref="K757" ca="1" si="739">(K466+K478+K491+K529)/IF(CUR_I_Report=2,K$98,1)</f>
        <v>303316.96428571432</v>
      </c>
      <c r="L757" s="26"/>
      <c r="M757" s="30">
        <f t="shared" ca="1" si="727"/>
        <v>1213267.8571428573</v>
      </c>
    </row>
    <row r="758" spans="1:13" outlineLevel="1">
      <c r="A758" s="32" t="str">
        <f ca="1">OFFSET(Язык!$A$384,0,LANGUAGE)</f>
        <v>Валовая прибыль</v>
      </c>
      <c r="C758" s="6">
        <f t="shared" si="722"/>
        <v>0</v>
      </c>
      <c r="G758" s="26">
        <f t="shared" ref="G758:J758" ca="1" si="740">G750-G751</f>
        <v>864269.03571428568</v>
      </c>
      <c r="H758" s="26">
        <f t="shared" ca="1" si="740"/>
        <v>1761590.8357142862</v>
      </c>
      <c r="I758" s="26">
        <f t="shared" ca="1" si="740"/>
        <v>1548206.7757142866</v>
      </c>
      <c r="J758" s="26">
        <f t="shared" ca="1" si="740"/>
        <v>1733359.1497142874</v>
      </c>
      <c r="K758" s="26">
        <f t="shared" ref="K758" ca="1" si="741">K750-K751</f>
        <v>1937026.7611142872</v>
      </c>
      <c r="L758" s="26"/>
      <c r="M758" s="30">
        <f t="shared" ca="1" si="727"/>
        <v>7844452.5579714328</v>
      </c>
    </row>
    <row r="759" spans="1:13" outlineLevel="1">
      <c r="A759" s="47" t="str">
        <f ca="1">OFFSET(Язык!$A$385,0,LANGUAGE)</f>
        <v xml:space="preserve"> -  Коммерческие расходы</v>
      </c>
      <c r="C759" s="6">
        <f t="shared" si="722"/>
        <v>0</v>
      </c>
      <c r="G759" s="26">
        <f t="shared" ref="G759:J759" ca="1" si="742">G382/IF(CUR_I_Report=2,G$98,1)</f>
        <v>0</v>
      </c>
      <c r="H759" s="26">
        <f t="shared" ca="1" si="742"/>
        <v>0</v>
      </c>
      <c r="I759" s="26">
        <f t="shared" ca="1" si="742"/>
        <v>0</v>
      </c>
      <c r="J759" s="26">
        <f t="shared" ca="1" si="742"/>
        <v>0</v>
      </c>
      <c r="K759" s="26">
        <f t="shared" ref="K759" ca="1" si="743">K382/IF(CUR_I_Report=2,K$98,1)</f>
        <v>0</v>
      </c>
      <c r="L759" s="26"/>
      <c r="M759" s="30">
        <f t="shared" ca="1" si="727"/>
        <v>0</v>
      </c>
    </row>
    <row r="760" spans="1:13" outlineLevel="1">
      <c r="A760" s="47" t="str">
        <f ca="1">OFFSET(Язык!$A$386,0,LANGUAGE)</f>
        <v xml:space="preserve"> -  Административные расходы</v>
      </c>
      <c r="C760" s="6">
        <f t="shared" si="722"/>
        <v>0</v>
      </c>
      <c r="G760" s="26">
        <f t="shared" ref="G760:J760" si="744">G379/IF(CUR_I_Report=2,G$98,1)</f>
        <v>312500</v>
      </c>
      <c r="H760" s="26">
        <f t="shared" si="744"/>
        <v>343750.00000000006</v>
      </c>
      <c r="I760" s="26">
        <f t="shared" si="744"/>
        <v>378125.00000000012</v>
      </c>
      <c r="J760" s="26">
        <f t="shared" si="744"/>
        <v>415937.50000000017</v>
      </c>
      <c r="K760" s="26">
        <f t="shared" ref="K760" si="745">K379/IF(CUR_I_Report=2,K$98,1)</f>
        <v>457531.25000000023</v>
      </c>
      <c r="L760" s="26"/>
      <c r="M760" s="30">
        <f t="shared" si="727"/>
        <v>1907843.7500000005</v>
      </c>
    </row>
    <row r="761" spans="1:13" outlineLevel="1">
      <c r="A761" s="32" t="str">
        <f ca="1">OFFSET(Язык!$A$387,0,LANGUAGE)</f>
        <v>Прибыль (убыток) от продаж</v>
      </c>
      <c r="C761" s="6">
        <f t="shared" si="722"/>
        <v>0</v>
      </c>
      <c r="G761" s="26">
        <f t="shared" ref="G761:J761" ca="1" si="746">G758-G759-G760</f>
        <v>551769.03571428568</v>
      </c>
      <c r="H761" s="26">
        <f t="shared" ca="1" si="746"/>
        <v>1417840.8357142862</v>
      </c>
      <c r="I761" s="26">
        <f t="shared" ca="1" si="746"/>
        <v>1170081.7757142866</v>
      </c>
      <c r="J761" s="26">
        <f t="shared" ca="1" si="746"/>
        <v>1317421.6497142871</v>
      </c>
      <c r="K761" s="26">
        <f t="shared" ref="K761" ca="1" si="747">K758-K759-K760</f>
        <v>1479495.511114287</v>
      </c>
      <c r="L761" s="26"/>
      <c r="M761" s="30">
        <f t="shared" ca="1" si="727"/>
        <v>5936608.8079714328</v>
      </c>
    </row>
    <row r="762" spans="1:13" outlineLevel="1">
      <c r="A762" s="47" t="str">
        <f ca="1">OFFSET(Язык!$A$388,0,LANGUAGE)</f>
        <v xml:space="preserve"> -  Налоги, относимые на финансовые результаты</v>
      </c>
      <c r="C762" s="6">
        <f t="shared" si="722"/>
        <v>0</v>
      </c>
      <c r="G762" s="26">
        <f t="shared" ref="G762:J762" ca="1" si="748">(G674+G721+G726)/IF(CUR_I_Report=2,G$98,1)</f>
        <v>0</v>
      </c>
      <c r="H762" s="26">
        <f t="shared" ca="1" si="748"/>
        <v>25204.584821428572</v>
      </c>
      <c r="I762" s="26">
        <f t="shared" ca="1" si="748"/>
        <v>47072.683035714275</v>
      </c>
      <c r="J762" s="26">
        <f t="shared" ca="1" si="748"/>
        <v>40399.709821428565</v>
      </c>
      <c r="K762" s="26">
        <f t="shared" ref="K762" ca="1" si="749">(K674+K721+K726)/IF(CUR_I_Report=2,K$98,1)</f>
        <v>33726.736607142848</v>
      </c>
      <c r="L762" s="26"/>
      <c r="M762" s="30">
        <f t="shared" ca="1" si="727"/>
        <v>146403.71428571426</v>
      </c>
    </row>
    <row r="763" spans="1:13" outlineLevel="1">
      <c r="A763" s="47" t="str">
        <f ca="1">OFFSET(Язык!$A$389,0,LANGUAGE)</f>
        <v xml:space="preserve"> -  Проценты к уплате</v>
      </c>
      <c r="C763" s="6">
        <f t="shared" si="722"/>
        <v>0</v>
      </c>
      <c r="G763" s="26">
        <f t="shared" ref="G763:J763" ca="1" si="750">(G633-G450)/IF(CUR_I_Report=2,G$98,1)</f>
        <v>0</v>
      </c>
      <c r="H763" s="26">
        <f t="shared" ca="1" si="750"/>
        <v>406840.00000000006</v>
      </c>
      <c r="I763" s="26">
        <f t="shared" ca="1" si="750"/>
        <v>271040</v>
      </c>
      <c r="J763" s="26">
        <f t="shared" ca="1" si="750"/>
        <v>135240</v>
      </c>
      <c r="K763" s="26">
        <f t="shared" ref="K763" ca="1" si="751">(K633-K450)/IF(CUR_I_Report=2,K$98,1)</f>
        <v>0</v>
      </c>
      <c r="L763" s="26"/>
      <c r="M763" s="30">
        <f t="shared" ca="1" si="727"/>
        <v>813120</v>
      </c>
    </row>
    <row r="764" spans="1:13" outlineLevel="1">
      <c r="A764" s="47" t="str">
        <f ca="1">OFFSET(Язык!$A$390,0,LANGUAGE)</f>
        <v xml:space="preserve"> + Прибыль (убыток) от прочей реализации</v>
      </c>
      <c r="C764" s="6">
        <f t="shared" si="722"/>
        <v>0</v>
      </c>
      <c r="G764" s="26">
        <f t="shared" ref="G764:J764" si="752">(G829+G831)/IF(CUR_I_Report=2,G$98,1)</f>
        <v>0</v>
      </c>
      <c r="H764" s="26">
        <f t="shared" si="752"/>
        <v>0</v>
      </c>
      <c r="I764" s="26">
        <f t="shared" si="752"/>
        <v>0</v>
      </c>
      <c r="J764" s="26">
        <f t="shared" si="752"/>
        <v>0</v>
      </c>
      <c r="K764" s="26">
        <f t="shared" ref="K764" si="753">(K829+K831)/IF(CUR_I_Report=2,K$98,1)</f>
        <v>0</v>
      </c>
      <c r="L764" s="26"/>
      <c r="M764" s="30">
        <f t="shared" si="727"/>
        <v>0</v>
      </c>
    </row>
    <row r="765" spans="1:13" outlineLevel="1">
      <c r="A765" s="47" t="str">
        <f ca="1">OFFSET(Язык!$A$391,0,LANGUAGE)</f>
        <v xml:space="preserve"> + Курсовая разница и доходы от конвертации</v>
      </c>
      <c r="C765" s="6">
        <f t="shared" si="722"/>
        <v>0</v>
      </c>
      <c r="G765" s="26">
        <f t="shared" ref="G765:J765" ca="1" si="754">G842/IF(CUR_I_Report=2,G$98,1)</f>
        <v>0</v>
      </c>
      <c r="H765" s="26">
        <f t="shared" ca="1" si="754"/>
        <v>0</v>
      </c>
      <c r="I765" s="26">
        <f t="shared" ca="1" si="754"/>
        <v>0</v>
      </c>
      <c r="J765" s="26">
        <f t="shared" ca="1" si="754"/>
        <v>0</v>
      </c>
      <c r="K765" s="26">
        <f t="shared" ref="K765" ca="1" si="755">K842/IF(CUR_I_Report=2,K$98,1)</f>
        <v>0</v>
      </c>
      <c r="L765" s="26"/>
      <c r="M765" s="30">
        <f t="shared" ca="1" si="727"/>
        <v>0</v>
      </c>
    </row>
    <row r="766" spans="1:13" outlineLevel="1">
      <c r="A766" s="47" t="str">
        <f ca="1">OFFSET(Язык!$A$392,0,LANGUAGE)</f>
        <v xml:space="preserve"> + Прочие внереализационные доходы (расходы)</v>
      </c>
      <c r="C766" s="6">
        <f t="shared" si="722"/>
        <v>0</v>
      </c>
      <c r="G766" s="26">
        <f t="shared" ref="G766:J766" ca="1" si="756">(G839+G836)/IF(CUR_I_Report=2,G$98,1)</f>
        <v>0</v>
      </c>
      <c r="H766" s="26">
        <f t="shared" ca="1" si="756"/>
        <v>0</v>
      </c>
      <c r="I766" s="26">
        <f t="shared" ca="1" si="756"/>
        <v>0</v>
      </c>
      <c r="J766" s="26">
        <f t="shared" ca="1" si="756"/>
        <v>0</v>
      </c>
      <c r="K766" s="26">
        <f t="shared" ref="K766" ca="1" si="757">(K839+K836)/IF(CUR_I_Report=2,K$98,1)</f>
        <v>0</v>
      </c>
      <c r="L766" s="26"/>
      <c r="M766" s="30">
        <f t="shared" ca="1" si="727"/>
        <v>0</v>
      </c>
    </row>
    <row r="767" spans="1:13" outlineLevel="1">
      <c r="A767" s="32" t="str">
        <f ca="1">OFFSET(Язык!$A$393,0,LANGUAGE)</f>
        <v>Прибыль до налогообложения</v>
      </c>
      <c r="C767" s="6">
        <f t="shared" si="722"/>
        <v>0</v>
      </c>
      <c r="G767" s="26">
        <f t="shared" ref="G767:J767" ca="1" si="758">G761-G762-G763+G764+G765+G766</f>
        <v>551769.03571428568</v>
      </c>
      <c r="H767" s="26">
        <f t="shared" ca="1" si="758"/>
        <v>985796.25089285756</v>
      </c>
      <c r="I767" s="26">
        <f t="shared" ca="1" si="758"/>
        <v>851969.09267857228</v>
      </c>
      <c r="J767" s="26">
        <f t="shared" ca="1" si="758"/>
        <v>1141781.9398928585</v>
      </c>
      <c r="K767" s="26">
        <f t="shared" ref="K767" ca="1" si="759">K761-K762-K763+K764+K765+K766</f>
        <v>1445768.774507144</v>
      </c>
      <c r="L767" s="26"/>
      <c r="M767" s="30">
        <f t="shared" ca="1" si="727"/>
        <v>4977085.0936857183</v>
      </c>
    </row>
    <row r="768" spans="1:13" outlineLevel="1">
      <c r="A768" s="47" t="str">
        <f ca="1">OFFSET(Язык!$A$394,0,LANGUAGE)</f>
        <v xml:space="preserve"> -  Налог на прибыль</v>
      </c>
      <c r="C768" s="6">
        <f t="shared" si="722"/>
        <v>0</v>
      </c>
      <c r="G768" s="26">
        <f t="shared" ref="G768:J768" ca="1" si="760">G736/IF(CUR_I_Report=2,G$98,1)</f>
        <v>110353.80714285714</v>
      </c>
      <c r="H768" s="26">
        <f t="shared" ca="1" si="760"/>
        <v>197159.25017857153</v>
      </c>
      <c r="I768" s="26">
        <f t="shared" ca="1" si="760"/>
        <v>170393.81853571447</v>
      </c>
      <c r="J768" s="26">
        <f t="shared" ca="1" si="760"/>
        <v>228356.3879785717</v>
      </c>
      <c r="K768" s="26">
        <f t="shared" ref="K768" ca="1" si="761">K736/IF(CUR_I_Report=2,K$98,1)</f>
        <v>289153.75490142882</v>
      </c>
      <c r="L768" s="26"/>
      <c r="M768" s="30">
        <f t="shared" ca="1" si="727"/>
        <v>995417.01873714372</v>
      </c>
    </row>
    <row r="769" spans="1:13" outlineLevel="1">
      <c r="A769" s="85" t="str">
        <f ca="1">OFFSET(Язык!$A$395,0,LANGUAGE)</f>
        <v>Чистая прибыль (убыток)</v>
      </c>
      <c r="B769" s="86"/>
      <c r="C769" s="41">
        <f t="shared" si="722"/>
        <v>0</v>
      </c>
      <c r="D769" s="85"/>
      <c r="E769" s="85"/>
      <c r="F769" s="85"/>
      <c r="G769" s="87">
        <f t="shared" ref="G769:J769" ca="1" si="762">G767-G768</f>
        <v>441415.22857142857</v>
      </c>
      <c r="H769" s="87">
        <f t="shared" ca="1" si="762"/>
        <v>788637.000714286</v>
      </c>
      <c r="I769" s="87">
        <f t="shared" ca="1" si="762"/>
        <v>681575.27414285787</v>
      </c>
      <c r="J769" s="87">
        <f t="shared" ca="1" si="762"/>
        <v>913425.5519142868</v>
      </c>
      <c r="K769" s="87">
        <f t="shared" ref="K769" ca="1" si="763">K767-K768</f>
        <v>1156615.0196057153</v>
      </c>
      <c r="L769" s="87"/>
      <c r="M769" s="88">
        <f t="shared" ca="1" si="727"/>
        <v>3981668.0749485749</v>
      </c>
    </row>
    <row r="770" spans="1:13" outlineLevel="1">
      <c r="A770" s="47" t="str">
        <f ca="1">OFFSET(Язык!$A$396,0,LANGUAGE)</f>
        <v xml:space="preserve"> -  дивиденды</v>
      </c>
      <c r="C770" s="6">
        <f t="shared" si="722"/>
        <v>0</v>
      </c>
      <c r="G770" s="26">
        <f t="shared" ref="G770:J770" ca="1" si="764">(G849+G851)/IF(CUR_I_Report=2,G$98,1)</f>
        <v>0</v>
      </c>
      <c r="H770" s="26">
        <f t="shared" ca="1" si="764"/>
        <v>0</v>
      </c>
      <c r="I770" s="26">
        <f t="shared" ca="1" si="764"/>
        <v>0</v>
      </c>
      <c r="J770" s="26">
        <f t="shared" ca="1" si="764"/>
        <v>0</v>
      </c>
      <c r="K770" s="26">
        <f t="shared" ref="K770" ca="1" si="765">(K849+K851)/IF(CUR_I_Report=2,K$98,1)</f>
        <v>0</v>
      </c>
      <c r="L770" s="26"/>
      <c r="M770" s="30">
        <f t="shared" ca="1" si="727"/>
        <v>0</v>
      </c>
    </row>
    <row r="771" spans="1:13" outlineLevel="1">
      <c r="A771" s="47" t="str">
        <f ca="1">OFFSET(Язык!$A$397,0,LANGUAGE)</f>
        <v xml:space="preserve"> = нераспределенная прибыль</v>
      </c>
      <c r="C771" s="6">
        <f t="shared" si="722"/>
        <v>0</v>
      </c>
      <c r="G771" s="26">
        <f t="shared" ref="G771:J771" ca="1" si="766">G769-G770</f>
        <v>441415.22857142857</v>
      </c>
      <c r="H771" s="26">
        <f t="shared" ca="1" si="766"/>
        <v>788637.000714286</v>
      </c>
      <c r="I771" s="26">
        <f t="shared" ca="1" si="766"/>
        <v>681575.27414285787</v>
      </c>
      <c r="J771" s="26">
        <f t="shared" ca="1" si="766"/>
        <v>913425.5519142868</v>
      </c>
      <c r="K771" s="26">
        <f t="shared" ref="K771" ca="1" si="767">K769-K770</f>
        <v>1156615.0196057153</v>
      </c>
      <c r="L771" s="26"/>
      <c r="M771" s="30">
        <f t="shared" ca="1" si="727"/>
        <v>3981668.0749485749</v>
      </c>
    </row>
    <row r="772" spans="1:13" outlineLevel="1">
      <c r="A772" s="162" t="str">
        <f ca="1">OFFSET(Язык!$A$398,0,LANGUAGE)</f>
        <v xml:space="preserve">    то же, нарастающим итогом</v>
      </c>
      <c r="B772" s="41"/>
      <c r="C772" s="41">
        <f t="shared" si="722"/>
        <v>0</v>
      </c>
      <c r="D772" s="43" t="s">
        <v>1736</v>
      </c>
      <c r="E772" s="43"/>
      <c r="F772" s="43"/>
      <c r="G772" s="57">
        <f t="shared" ref="G772:K772" ca="1" si="768">F772*IF(CUR_I_Report=2,F$98/G$98,1)+G771</f>
        <v>441415.22857142857</v>
      </c>
      <c r="H772" s="57">
        <f t="shared" ca="1" si="768"/>
        <v>1230052.2292857147</v>
      </c>
      <c r="I772" s="57">
        <f t="shared" ca="1" si="768"/>
        <v>1911627.5034285726</v>
      </c>
      <c r="J772" s="57">
        <f t="shared" ca="1" si="768"/>
        <v>2825053.0553428596</v>
      </c>
      <c r="K772" s="57">
        <f t="shared" ca="1" si="768"/>
        <v>3981668.0749485749</v>
      </c>
      <c r="L772" s="57"/>
      <c r="M772" s="57"/>
    </row>
    <row r="773" spans="1:13" outlineLevel="1"/>
    <row r="774" spans="1:13" outlineLevel="1" collapsed="1">
      <c r="A774" s="37" t="str">
        <f ca="1">OFFSET(Язык!$A$399,0,LANGUAGE)</f>
        <v>График: Доходы и расходы проекта</v>
      </c>
      <c r="B774" s="76"/>
    </row>
    <row r="775" spans="1:13" hidden="1" outlineLevel="2">
      <c r="B775" s="76"/>
    </row>
    <row r="776" spans="1:13" hidden="1" outlineLevel="2">
      <c r="B776" s="76"/>
    </row>
    <row r="777" spans="1:13" hidden="1" outlineLevel="2">
      <c r="B777" s="76"/>
    </row>
    <row r="778" spans="1:13" hidden="1" outlineLevel="2">
      <c r="B778" s="76"/>
    </row>
    <row r="779" spans="1:13" hidden="1" outlineLevel="2">
      <c r="B779" s="76"/>
    </row>
    <row r="780" spans="1:13" hidden="1" outlineLevel="2">
      <c r="B780" s="76"/>
    </row>
    <row r="781" spans="1:13" hidden="1" outlineLevel="2">
      <c r="B781" s="76"/>
    </row>
    <row r="782" spans="1:13" hidden="1" outlineLevel="2">
      <c r="B782" s="76"/>
    </row>
    <row r="783" spans="1:13" hidden="1" outlineLevel="2">
      <c r="B783" s="76"/>
    </row>
    <row r="784" spans="1:13" hidden="1" outlineLevel="2">
      <c r="B784" s="76"/>
    </row>
    <row r="785" spans="1:2" hidden="1" outlineLevel="2">
      <c r="B785" s="76"/>
    </row>
    <row r="786" spans="1:2" hidden="1" outlineLevel="2">
      <c r="B786" s="76"/>
    </row>
    <row r="787" spans="1:2" hidden="1" outlineLevel="2">
      <c r="B787" s="76"/>
    </row>
    <row r="788" spans="1:2" hidden="1" outlineLevel="2">
      <c r="B788" s="76"/>
    </row>
    <row r="789" spans="1:2" hidden="1" outlineLevel="2">
      <c r="B789" s="76"/>
    </row>
    <row r="790" spans="1:2" hidden="1" outlineLevel="2">
      <c r="B790" s="76"/>
    </row>
    <row r="791" spans="1:2" hidden="1" outlineLevel="2">
      <c r="B791" s="76"/>
    </row>
    <row r="792" spans="1:2" hidden="1" outlineLevel="2">
      <c r="B792" s="76"/>
    </row>
    <row r="793" spans="1:2" hidden="1" outlineLevel="2">
      <c r="B793" s="76"/>
    </row>
    <row r="794" spans="1:2" hidden="1" outlineLevel="2">
      <c r="B794" s="76"/>
    </row>
    <row r="795" spans="1:2" hidden="1" outlineLevel="2">
      <c r="B795" s="76"/>
    </row>
    <row r="796" spans="1:2" hidden="1" outlineLevel="2">
      <c r="B796" s="76"/>
    </row>
    <row r="797" spans="1:2" hidden="1" outlineLevel="2">
      <c r="B797" s="76"/>
    </row>
    <row r="798" spans="1:2" outlineLevel="1">
      <c r="B798" s="76"/>
    </row>
    <row r="799" spans="1:2" outlineLevel="1" collapsed="1">
      <c r="A799" s="37" t="str">
        <f ca="1">OFFSET(Язык!$A$400,0,LANGUAGE)</f>
        <v>График: Чистая прибыль</v>
      </c>
      <c r="B799" s="76"/>
    </row>
    <row r="800" spans="1:2" hidden="1" outlineLevel="2">
      <c r="B800" s="76"/>
    </row>
    <row r="801" spans="2:2" hidden="1" outlineLevel="2">
      <c r="B801" s="76"/>
    </row>
    <row r="802" spans="2:2" hidden="1" outlineLevel="2">
      <c r="B802" s="76"/>
    </row>
    <row r="803" spans="2:2" hidden="1" outlineLevel="2">
      <c r="B803" s="76"/>
    </row>
    <row r="804" spans="2:2" hidden="1" outlineLevel="2">
      <c r="B804" s="76"/>
    </row>
    <row r="805" spans="2:2" hidden="1" outlineLevel="2">
      <c r="B805" s="76"/>
    </row>
    <row r="806" spans="2:2" hidden="1" outlineLevel="2">
      <c r="B806" s="76"/>
    </row>
    <row r="807" spans="2:2" hidden="1" outlineLevel="2">
      <c r="B807" s="76"/>
    </row>
    <row r="808" spans="2:2" hidden="1" outlineLevel="2">
      <c r="B808" s="76"/>
    </row>
    <row r="809" spans="2:2" hidden="1" outlineLevel="2">
      <c r="B809" s="76"/>
    </row>
    <row r="810" spans="2:2" hidden="1" outlineLevel="2">
      <c r="B810" s="76"/>
    </row>
    <row r="811" spans="2:2" hidden="1" outlineLevel="2">
      <c r="B811" s="76"/>
    </row>
    <row r="812" spans="2:2" hidden="1" outlineLevel="2">
      <c r="B812" s="76"/>
    </row>
    <row r="813" spans="2:2" hidden="1" outlineLevel="2">
      <c r="B813" s="76"/>
    </row>
    <row r="814" spans="2:2" hidden="1" outlineLevel="2">
      <c r="B814" s="76"/>
    </row>
    <row r="815" spans="2:2" hidden="1" outlineLevel="2">
      <c r="B815" s="76"/>
    </row>
    <row r="816" spans="2:2" hidden="1" outlineLevel="2">
      <c r="B816" s="76"/>
    </row>
    <row r="817" spans="1:13" hidden="1" outlineLevel="2">
      <c r="B817" s="76"/>
    </row>
    <row r="818" spans="1:13" hidden="1" outlineLevel="2">
      <c r="B818" s="76"/>
    </row>
    <row r="819" spans="1:13" hidden="1" outlineLevel="2">
      <c r="B819" s="76"/>
    </row>
    <row r="820" spans="1:13" hidden="1" outlineLevel="2">
      <c r="B820" s="76"/>
    </row>
    <row r="821" spans="1:13" hidden="1" outlineLevel="2">
      <c r="B821" s="76"/>
    </row>
    <row r="822" spans="1:13" hidden="1" outlineLevel="2">
      <c r="B822" s="76"/>
    </row>
    <row r="823" spans="1:13" outlineLevel="1">
      <c r="B823" s="76"/>
    </row>
    <row r="824" spans="1:13" ht="12" outlineLevel="1" thickBot="1"/>
    <row r="825" spans="1:13" ht="15.95" customHeight="1" collapsed="1" thickTop="1" thickBot="1">
      <c r="A825" s="18"/>
      <c r="B825" s="23"/>
      <c r="C825" s="19"/>
      <c r="D825" s="18"/>
      <c r="E825" s="18"/>
      <c r="F825" s="19" t="str">
        <f t="shared" ref="F825:K825" si="769">PeriodTitle</f>
        <v>"0"</v>
      </c>
      <c r="G825" s="19">
        <f t="shared" si="769"/>
        <v>2013</v>
      </c>
      <c r="H825" s="19">
        <f t="shared" si="769"/>
        <v>2014</v>
      </c>
      <c r="I825" s="19">
        <f t="shared" si="769"/>
        <v>2015</v>
      </c>
      <c r="J825" s="19">
        <f t="shared" si="769"/>
        <v>2016</v>
      </c>
      <c r="K825" s="19">
        <f t="shared" si="769"/>
        <v>2017</v>
      </c>
      <c r="L825" s="19"/>
      <c r="M825" s="23" t="str">
        <f ca="1">OFFSET(Язык!$A$77,0,LANGUAGE)</f>
        <v>ИТОГО</v>
      </c>
    </row>
    <row r="826" spans="1:13" ht="12.75" hidden="1" outlineLevel="1" thickTop="1" thickBot="1"/>
    <row r="827" spans="1:13" ht="12.75" hidden="1" outlineLevel="1" thickTop="1" thickBot="1">
      <c r="A827" s="2" t="str">
        <f ca="1">OFFSET(Язык!$A$402,0,LANGUAGE)</f>
        <v>1. ДОХОДЫ / РАСХОДЫ ОТ ПРОЧЕЙ РЕАЛИЗАЦИИ</v>
      </c>
    </row>
    <row r="828" spans="1:13" ht="12.75" hidden="1" outlineLevel="1" thickTop="1" thickBot="1"/>
    <row r="829" spans="1:13" ht="12.75" hidden="1" outlineLevel="1" thickTop="1" thickBot="1">
      <c r="A829" s="2" t="str">
        <f ca="1">OFFSET(Язык!$A$403,0,LANGUAGE)</f>
        <v>Доход / убыток от реализации постоянных активов</v>
      </c>
      <c r="C829" s="6" t="str">
        <f ca="1">CUR_Main</f>
        <v>$</v>
      </c>
      <c r="G829" s="26">
        <f t="shared" ref="G829:J829" si="770">G471+G484</f>
        <v>0</v>
      </c>
      <c r="H829" s="26">
        <f t="shared" si="770"/>
        <v>0</v>
      </c>
      <c r="I829" s="26">
        <f t="shared" si="770"/>
        <v>0</v>
      </c>
      <c r="J829" s="26">
        <f t="shared" si="770"/>
        <v>0</v>
      </c>
      <c r="K829" s="26">
        <f t="shared" ref="K829" si="771">K471+K484</f>
        <v>0</v>
      </c>
      <c r="L829" s="26"/>
      <c r="M829" s="30">
        <f>SUM(F829:K829)</f>
        <v>0</v>
      </c>
    </row>
    <row r="830" spans="1:13" ht="12.75" hidden="1" outlineLevel="1" collapsed="1" thickTop="1" thickBot="1">
      <c r="A830" s="5" t="str">
        <f ca="1">OFFSET(Язык!$A$404,0,LANGUAGE)</f>
        <v>Доходы (+) / расходы (-) от проч. реализации, с НДС</v>
      </c>
      <c r="C830" s="6" t="str">
        <f ca="1">CUR_Main</f>
        <v>$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  <c r="L830" s="26"/>
      <c r="M830" s="30">
        <f>SUM(F830:K830)</f>
        <v>0</v>
      </c>
    </row>
    <row r="831" spans="1:13" ht="12.75" hidden="1" outlineLevel="2" thickTop="1" thickBot="1">
      <c r="A831" s="2" t="str">
        <f ca="1">OFFSET(Язык!$A$405,0,LANGUAGE)</f>
        <v xml:space="preserve">    то же, без НДС</v>
      </c>
      <c r="B831" s="24">
        <f>VAT</f>
        <v>0.12</v>
      </c>
      <c r="C831" s="6" t="str">
        <f ca="1">CUR_Main</f>
        <v>$</v>
      </c>
      <c r="G831" s="26">
        <f t="shared" ref="G831:J831" si="772">G830/(1+$B831)</f>
        <v>0</v>
      </c>
      <c r="H831" s="26">
        <f t="shared" si="772"/>
        <v>0</v>
      </c>
      <c r="I831" s="26">
        <f t="shared" si="772"/>
        <v>0</v>
      </c>
      <c r="J831" s="26">
        <f t="shared" si="772"/>
        <v>0</v>
      </c>
      <c r="K831" s="26">
        <f t="shared" ref="K831" si="773">K830/(1+$B831)</f>
        <v>0</v>
      </c>
      <c r="M831" s="30">
        <f>SUM(F831:K831)</f>
        <v>0</v>
      </c>
    </row>
    <row r="832" spans="1:13" ht="12.75" hidden="1" outlineLevel="2" thickTop="1" thickBot="1">
      <c r="A832" s="2" t="str">
        <f ca="1">OFFSET(Язык!$A$406,0,LANGUAGE)</f>
        <v xml:space="preserve">    НДС к прочим доходам / расходам</v>
      </c>
      <c r="C832" s="6" t="str">
        <f ca="1">CUR_Main</f>
        <v>$</v>
      </c>
      <c r="G832" s="26">
        <f t="shared" ref="G832:J832" si="774">G830-G831</f>
        <v>0</v>
      </c>
      <c r="H832" s="26">
        <f t="shared" si="774"/>
        <v>0</v>
      </c>
      <c r="I832" s="26">
        <f t="shared" si="774"/>
        <v>0</v>
      </c>
      <c r="J832" s="26">
        <f t="shared" si="774"/>
        <v>0</v>
      </c>
      <c r="K832" s="26">
        <f t="shared" ref="K832" si="775">K830-K831</f>
        <v>0</v>
      </c>
      <c r="M832" s="30">
        <f>SUM(F832:K832)</f>
        <v>0</v>
      </c>
    </row>
    <row r="833" spans="1:13" ht="12.75" hidden="1" outlineLevel="1" thickTop="1" thickBot="1"/>
    <row r="834" spans="1:13" ht="12.75" hidden="1" outlineLevel="1" thickTop="1" thickBot="1">
      <c r="A834" s="2" t="str">
        <f ca="1">OFFSET(Язык!$A$407,0,LANGUAGE)</f>
        <v>2. ПРОЧИЕ ВНЕРЕАЛИЗАЦИОННЫЕ ДОХОДЫ / РАСХОДЫ</v>
      </c>
    </row>
    <row r="835" spans="1:13" ht="12.75" hidden="1" outlineLevel="1" thickTop="1" thickBot="1"/>
    <row r="836" spans="1:13" ht="12.75" hidden="1" outlineLevel="1" thickTop="1" thickBot="1">
      <c r="A836" s="2" t="str">
        <f ca="1">OFFSET(Язык!$A$408,0,LANGUAGE)</f>
        <v>Доход по депозитам</v>
      </c>
      <c r="C836" s="6" t="str">
        <f ca="1">CUR_Main</f>
        <v>$</v>
      </c>
      <c r="G836" s="26">
        <f t="shared" ref="G836:K836" ca="1" si="776">MAX(F887*G837*PRJ_Step/360,0)</f>
        <v>0</v>
      </c>
      <c r="H836" s="26">
        <f t="shared" ca="1" si="776"/>
        <v>0</v>
      </c>
      <c r="I836" s="26">
        <f t="shared" ca="1" si="776"/>
        <v>0</v>
      </c>
      <c r="J836" s="26">
        <f t="shared" ca="1" si="776"/>
        <v>0</v>
      </c>
      <c r="K836" s="26">
        <f t="shared" ca="1" si="776"/>
        <v>0</v>
      </c>
      <c r="L836" s="26"/>
      <c r="M836" s="30">
        <f ca="1">SUM(F836:K836)</f>
        <v>0</v>
      </c>
    </row>
    <row r="837" spans="1:13" ht="12.75" hidden="1" outlineLevel="1" thickTop="1" thickBot="1">
      <c r="A837" s="2" t="str">
        <f ca="1">OFFSET(Язык!$A$409,0,LANGUAGE)</f>
        <v xml:space="preserve">    годовая ставка</v>
      </c>
      <c r="B837" s="50">
        <v>0</v>
      </c>
      <c r="D837" s="2" t="s">
        <v>1746</v>
      </c>
      <c r="G837" s="74">
        <f>B837</f>
        <v>0</v>
      </c>
      <c r="H837" s="74">
        <f t="shared" ref="H837:K837" si="777">G837</f>
        <v>0</v>
      </c>
      <c r="I837" s="74">
        <f t="shared" si="777"/>
        <v>0</v>
      </c>
      <c r="J837" s="74">
        <f t="shared" si="777"/>
        <v>0</v>
      </c>
      <c r="K837" s="74">
        <f t="shared" si="777"/>
        <v>0</v>
      </c>
    </row>
    <row r="838" spans="1:13" ht="12.75" hidden="1" outlineLevel="1" collapsed="1" thickTop="1" thickBot="1">
      <c r="A838" s="5" t="str">
        <f ca="1">OFFSET(Язык!$A$410,0,LANGUAGE)</f>
        <v>Прочие внереализац. доходы (+) / расходы (-), с НДС</v>
      </c>
      <c r="C838" s="6" t="str">
        <f ca="1">CUR_Main</f>
        <v>$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26"/>
      <c r="M838" s="30">
        <f>SUM(F838:K838)</f>
        <v>0</v>
      </c>
    </row>
    <row r="839" spans="1:13" ht="12.75" hidden="1" outlineLevel="2" thickTop="1" thickBot="1">
      <c r="A839" s="2" t="str">
        <f ca="1">OFFSET(Язык!$A$411,0,LANGUAGE)</f>
        <v xml:space="preserve">    то же, без НДС</v>
      </c>
      <c r="B839" s="24">
        <f>VAT</f>
        <v>0.12</v>
      </c>
      <c r="C839" s="6" t="str">
        <f ca="1">CUR_Main</f>
        <v>$</v>
      </c>
      <c r="G839" s="26">
        <f t="shared" ref="G839:J839" si="778">G838/(1+$B839)</f>
        <v>0</v>
      </c>
      <c r="H839" s="26">
        <f t="shared" si="778"/>
        <v>0</v>
      </c>
      <c r="I839" s="26">
        <f t="shared" si="778"/>
        <v>0</v>
      </c>
      <c r="J839" s="26">
        <f t="shared" si="778"/>
        <v>0</v>
      </c>
      <c r="K839" s="26">
        <f t="shared" ref="K839" si="779">K838/(1+$B839)</f>
        <v>0</v>
      </c>
      <c r="M839" s="30">
        <f>SUM(F839:K839)</f>
        <v>0</v>
      </c>
    </row>
    <row r="840" spans="1:13" ht="12.75" hidden="1" outlineLevel="2" thickTop="1" thickBot="1">
      <c r="A840" s="2" t="str">
        <f ca="1">OFFSET(Язык!$A$412,0,LANGUAGE)</f>
        <v xml:space="preserve">    НДС к прочим доходам / расходам</v>
      </c>
      <c r="C840" s="6" t="str">
        <f ca="1">CUR_Main</f>
        <v>$</v>
      </c>
      <c r="G840" s="26">
        <f t="shared" ref="G840:J840" si="780">G838-G839</f>
        <v>0</v>
      </c>
      <c r="H840" s="26">
        <f t="shared" si="780"/>
        <v>0</v>
      </c>
      <c r="I840" s="26">
        <f t="shared" si="780"/>
        <v>0</v>
      </c>
      <c r="J840" s="26">
        <f t="shared" si="780"/>
        <v>0</v>
      </c>
      <c r="K840" s="26">
        <f t="shared" ref="K840" si="781">K838-K839</f>
        <v>0</v>
      </c>
      <c r="M840" s="30">
        <f>SUM(F840:K840)</f>
        <v>0</v>
      </c>
    </row>
    <row r="841" spans="1:13" ht="12.75" hidden="1" outlineLevel="1" thickTop="1" thickBot="1"/>
    <row r="842" spans="1:13" ht="12.75" hidden="1" outlineLevel="1" collapsed="1" thickTop="1" thickBot="1">
      <c r="A842" s="2" t="str">
        <f ca="1">OFFSET(Язык!$A$413,0,LANGUAGE)</f>
        <v>3. ПРИБЫЛЬ (УБЫТОК) ОТ КУРСОВОЙ РАЗНИЦЫ</v>
      </c>
      <c r="C842" s="6" t="str">
        <f ca="1">CUR_Main</f>
        <v>$</v>
      </c>
      <c r="G842" s="26">
        <f t="shared" ref="G842:J842" ca="1" si="782">G843+G844+G845</f>
        <v>0</v>
      </c>
      <c r="H842" s="26">
        <f t="shared" ca="1" si="782"/>
        <v>0</v>
      </c>
      <c r="I842" s="26">
        <f t="shared" ca="1" si="782"/>
        <v>0</v>
      </c>
      <c r="J842" s="26">
        <f t="shared" ca="1" si="782"/>
        <v>0</v>
      </c>
      <c r="K842" s="26">
        <f t="shared" ref="K842" ca="1" si="783">K843+K844+K845</f>
        <v>0</v>
      </c>
      <c r="M842" s="30">
        <f ca="1">SUM(F842:K842)</f>
        <v>0</v>
      </c>
    </row>
    <row r="843" spans="1:13" ht="12.75" hidden="1" outlineLevel="2" thickTop="1" thickBot="1">
      <c r="A843" s="2" t="str">
        <f ca="1">OFFSET(Язык!$A$414,0,LANGUAGE)</f>
        <v xml:space="preserve">    от курсовой разницы при расчетах с покупателями</v>
      </c>
      <c r="C843" s="6" t="str">
        <f ca="1">CUR_Main</f>
        <v>$</v>
      </c>
      <c r="G843" s="26">
        <f ca="1">(SUM($F179:G179)-SUM($F173:G173)+G184-G182)-SUM($F843:F843)</f>
        <v>0</v>
      </c>
      <c r="H843" s="26">
        <f ca="1">(SUM($F179:H179)-SUM($F173:H173)+H184-H182)-SUM($F843:G843)</f>
        <v>0</v>
      </c>
      <c r="I843" s="26">
        <f ca="1">(SUM($F179:I179)-SUM($F173:I173)+I184-I182)-SUM($F843:H843)</f>
        <v>0</v>
      </c>
      <c r="J843" s="26">
        <f ca="1">(SUM($F179:J179)-SUM($F173:J173)+J184-J182)-SUM($F843:I843)</f>
        <v>0</v>
      </c>
      <c r="K843" s="26">
        <f ca="1">(SUM($F179:K179)-SUM($F173:K173)+K184-K182)-SUM($F843:J843)</f>
        <v>0</v>
      </c>
      <c r="M843" s="30">
        <f ca="1">SUM(F843:K843)</f>
        <v>0</v>
      </c>
    </row>
    <row r="844" spans="1:13" ht="12.75" hidden="1" outlineLevel="2" thickTop="1" thickBot="1">
      <c r="A844" s="2" t="str">
        <f ca="1">OFFSET(Язык!$A$415,0,LANGUAGE)</f>
        <v xml:space="preserve">    от курсовой разницы при расчетах с поставщиками</v>
      </c>
      <c r="C844" s="6" t="str">
        <f ca="1">CUR_Main</f>
        <v>$</v>
      </c>
      <c r="G844" s="26">
        <f ca="1">(SUM($F264:G264)-SUM($F269:G269)+G272-G274)-SUM($F844:F844)</f>
        <v>0</v>
      </c>
      <c r="H844" s="26">
        <f ca="1">(SUM($F264:H264)-SUM($F269:H269)+H272-H274)-SUM($F844:G844)</f>
        <v>0</v>
      </c>
      <c r="I844" s="26">
        <f ca="1">(SUM($F264:I264)-SUM($F269:I269)+I272-I274)-SUM($F844:H844)</f>
        <v>0</v>
      </c>
      <c r="J844" s="26">
        <f ca="1">(SUM($F264:J264)-SUM($F269:J269)+J272-J274)-SUM($F844:I844)</f>
        <v>0</v>
      </c>
      <c r="K844" s="26">
        <f ca="1">(SUM($F264:K264)-SUM($F269:K269)+K272-K274)-SUM($F844:J844)</f>
        <v>0</v>
      </c>
      <c r="M844" s="30">
        <f ca="1">SUM(F844:K844)</f>
        <v>0</v>
      </c>
    </row>
    <row r="845" spans="1:13" ht="12.75" hidden="1" outlineLevel="2" thickTop="1" thickBot="1">
      <c r="A845" s="2" t="str">
        <f ca="1">OFFSET(Язык!$A$416,0,LANGUAGE)</f>
        <v xml:space="preserve">    от курсовой и инфляционной разницы в запасах</v>
      </c>
      <c r="C845" s="6" t="str">
        <f ca="1">CUR_Main</f>
        <v>$</v>
      </c>
      <c r="G845" s="26">
        <f>(SUM($F258:G258)-SUM($F264:G264)+G260+G261+G263+SUM($F255:G255)-SUM($F256:G256)+G257)-SUM($F845:F845)</f>
        <v>0</v>
      </c>
      <c r="H845" s="26">
        <f>(SUM($F258:H258)-SUM($F264:H264)+H260+H261+H263+SUM($F255:H255)-SUM($F256:H256)+H257)-SUM($F845:G845)</f>
        <v>0</v>
      </c>
      <c r="I845" s="26">
        <f>(SUM($F258:I258)-SUM($F264:I264)+I260+I261+I263+SUM($F255:I255)-SUM($F256:I256)+I257)-SUM($F845:H845)</f>
        <v>0</v>
      </c>
      <c r="J845" s="26">
        <f>(SUM($F258:J258)-SUM($F264:J264)+J260+J261+J263+SUM($F255:J255)-SUM($F256:J256)+J257)-SUM($F845:I845)</f>
        <v>0</v>
      </c>
      <c r="K845" s="26">
        <f>(SUM($F258:K258)-SUM($F264:K264)+K260+K261+K263+SUM($F255:K255)-SUM($F256:K256)+K257)-SUM($F845:J845)</f>
        <v>0</v>
      </c>
      <c r="M845" s="30"/>
    </row>
    <row r="846" spans="1:13" ht="12.75" hidden="1" outlineLevel="1" thickTop="1" thickBot="1"/>
    <row r="847" spans="1:13" ht="12.75" hidden="1" outlineLevel="1" thickTop="1" thickBot="1">
      <c r="A847" s="2" t="str">
        <f ca="1">OFFSET(Язык!$A$417,0,LANGUAGE)</f>
        <v>4. ДИВИДЕНДЫ</v>
      </c>
    </row>
    <row r="848" spans="1:13" ht="12.75" hidden="1" outlineLevel="1" thickTop="1" thickBot="1"/>
    <row r="849" spans="1:13" ht="12.75" hidden="1" outlineLevel="1" collapsed="1" thickTop="1" thickBot="1">
      <c r="A849" s="2" t="str">
        <f ca="1">OFFSET(Язык!$A$418,0,LANGUAGE)</f>
        <v>Дивиденды по привилегированным акциям</v>
      </c>
      <c r="C849" s="6" t="str">
        <f ca="1">CUR_Main</f>
        <v>$</v>
      </c>
      <c r="G849" s="26">
        <f t="shared" ref="G849:K849" ca="1" si="784">IF(AND(G27&gt;=$B852,G769&gt;0,$C603&gt;0),MIN(F850*$C603,G769*IF(CUR_I_Report=2,G$98,1),MAX((F887+G867+G875+SUM(G877:G881)),0)*IF(CUR_I_Report=2,G$98,1)),0)</f>
        <v>0</v>
      </c>
      <c r="H849" s="26">
        <f t="shared" ca="1" si="784"/>
        <v>0</v>
      </c>
      <c r="I849" s="26">
        <f t="shared" ca="1" si="784"/>
        <v>0</v>
      </c>
      <c r="J849" s="26">
        <f t="shared" ca="1" si="784"/>
        <v>0</v>
      </c>
      <c r="K849" s="26">
        <f t="shared" ca="1" si="784"/>
        <v>0</v>
      </c>
      <c r="L849" s="26"/>
      <c r="M849" s="30">
        <f ca="1">SUM(F849:K849)</f>
        <v>0</v>
      </c>
    </row>
    <row r="850" spans="1:13" ht="12.75" hidden="1" outlineLevel="2" thickTop="1" thickBot="1">
      <c r="A850" s="2" t="str">
        <f ca="1">OFFSET(Язык!$A$620,0,LANGUAGE)</f>
        <v xml:space="preserve">    стоимость выпущенных привилегированных акций</v>
      </c>
      <c r="C850" s="6" t="str">
        <f ca="1">CUR_Main</f>
        <v>$</v>
      </c>
      <c r="F850" s="26">
        <f t="shared" ref="F850:K850" si="785">E850+F603</f>
        <v>0</v>
      </c>
      <c r="G850" s="26">
        <f t="shared" si="785"/>
        <v>0</v>
      </c>
      <c r="H850" s="26">
        <f t="shared" si="785"/>
        <v>0</v>
      </c>
      <c r="I850" s="26">
        <f t="shared" si="785"/>
        <v>0</v>
      </c>
      <c r="J850" s="26">
        <f t="shared" si="785"/>
        <v>0</v>
      </c>
      <c r="K850" s="26">
        <f t="shared" si="785"/>
        <v>0</v>
      </c>
      <c r="L850" s="26"/>
      <c r="M850" s="30"/>
    </row>
    <row r="851" spans="1:13" ht="12.75" hidden="1" outlineLevel="1" thickTop="1" thickBot="1">
      <c r="A851" s="2" t="str">
        <f ca="1">OFFSET(Язык!$A$419,0,LANGUAGE)</f>
        <v>Дивиденды по обыкновенным акциям</v>
      </c>
      <c r="C851" s="6" t="str">
        <f ca="1">CUR_Main</f>
        <v>$</v>
      </c>
      <c r="G851" s="26">
        <f t="shared" ref="G851:K851" ca="1" si="786">IF(AND(G27&gt;=$B852,G769&gt;0),MIN(G769*$B853*IF(CUR_I_Report=2,G$98,1),MAX((F887+G867+G875+SUM(G877:G881)),0)*IF(CUR_I_Report=2,G$98,1)-G849),0)</f>
        <v>0</v>
      </c>
      <c r="H851" s="26">
        <f t="shared" ca="1" si="786"/>
        <v>0</v>
      </c>
      <c r="I851" s="26">
        <f t="shared" ca="1" si="786"/>
        <v>0</v>
      </c>
      <c r="J851" s="26">
        <f t="shared" ca="1" si="786"/>
        <v>0</v>
      </c>
      <c r="K851" s="26">
        <f t="shared" ca="1" si="786"/>
        <v>0</v>
      </c>
      <c r="L851" s="26"/>
      <c r="M851" s="30">
        <f ca="1">SUM(F851:K851)</f>
        <v>0</v>
      </c>
    </row>
    <row r="852" spans="1:13" ht="12.75" hidden="1" outlineLevel="1" thickTop="1" thickBot="1">
      <c r="A852" s="2" t="str">
        <f ca="1">OFFSET(Язык!$A$420,0,LANGUAGE)</f>
        <v xml:space="preserve">    номер периода, с которого выплачиваются дивиденды</v>
      </c>
      <c r="B852" s="7">
        <v>1</v>
      </c>
      <c r="G852" s="26"/>
      <c r="H852" s="26"/>
      <c r="I852" s="26"/>
      <c r="J852" s="26"/>
      <c r="K852" s="26"/>
      <c r="L852" s="26"/>
      <c r="M852" s="26"/>
    </row>
    <row r="853" spans="1:13" ht="12.75" hidden="1" outlineLevel="1" thickTop="1" thickBot="1">
      <c r="A853" s="43" t="str">
        <f ca="1">OFFSET(Язык!$A$421,0,LANGUAGE)</f>
        <v xml:space="preserve">    доля прибыли, направляемая на дивиденды</v>
      </c>
      <c r="B853" s="54">
        <v>0</v>
      </c>
      <c r="C853" s="41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2.75" hidden="1" outlineLevel="1" thickTop="1" thickBot="1">
      <c r="G854" s="26"/>
      <c r="H854" s="26"/>
      <c r="I854" s="26"/>
      <c r="J854" s="26"/>
      <c r="K854" s="26"/>
    </row>
    <row r="855" spans="1:13" ht="12.75" hidden="1" outlineLevel="1" thickTop="1" thickBot="1"/>
    <row r="856" spans="1:13" ht="15.95" customHeight="1" thickTop="1" thickBot="1">
      <c r="A856" s="18" t="str">
        <f ca="1">OFFSET(Язык!$A$422,0,LANGUAGE)</f>
        <v>ОТЧЕТ О ДВИЖЕНИИ ДЕНЕЖНЫХ СРЕДСТВ</v>
      </c>
      <c r="B856" s="23"/>
      <c r="C856" s="19"/>
      <c r="D856" s="18"/>
      <c r="E856" s="18"/>
      <c r="F856" s="19" t="str">
        <f t="shared" ref="F856:K856" si="787">PeriodTitle</f>
        <v>"0"</v>
      </c>
      <c r="G856" s="19">
        <f t="shared" si="787"/>
        <v>2013</v>
      </c>
      <c r="H856" s="19">
        <f t="shared" si="787"/>
        <v>2014</v>
      </c>
      <c r="I856" s="19">
        <f t="shared" si="787"/>
        <v>2015</v>
      </c>
      <c r="J856" s="19">
        <f t="shared" si="787"/>
        <v>2016</v>
      </c>
      <c r="K856" s="19">
        <f t="shared" si="787"/>
        <v>2017</v>
      </c>
      <c r="L856" s="19"/>
      <c r="M856" s="23" t="str">
        <f ca="1">OFFSET(Язык!$A$77,0,LANGUAGE)</f>
        <v>ИТОГО</v>
      </c>
    </row>
    <row r="857" spans="1:13" ht="12" outlineLevel="1" thickTop="1"/>
    <row r="858" spans="1:13" outlineLevel="1">
      <c r="A858" s="2" t="str">
        <f ca="1">OFFSET(Язык!$A$423,0,LANGUAGE)</f>
        <v>Поступления от продаж</v>
      </c>
      <c r="C858" s="6">
        <f t="shared" ref="C858:C865" si="788">CUR_Report</f>
        <v>0</v>
      </c>
      <c r="F858" s="26">
        <f t="shared" ref="F858:J858" ca="1" si="789">(F179+F180)/IF(CUR_I_Report=2,F$98,1)</f>
        <v>0</v>
      </c>
      <c r="G858" s="26">
        <f t="shared" ca="1" si="789"/>
        <v>2544750</v>
      </c>
      <c r="H858" s="26">
        <f t="shared" ca="1" si="789"/>
        <v>5598450</v>
      </c>
      <c r="I858" s="26">
        <f t="shared" ca="1" si="789"/>
        <v>6158295.0000000009</v>
      </c>
      <c r="J858" s="26">
        <f t="shared" ca="1" si="789"/>
        <v>6774124.5000000019</v>
      </c>
      <c r="K858" s="26">
        <f t="shared" ref="K858" ca="1" si="790">(K179+K180)/IF(CUR_I_Report=2,K$98,1)</f>
        <v>7451536.950000003</v>
      </c>
      <c r="L858" s="26"/>
      <c r="M858" s="30">
        <f t="shared" ref="M858:M886" ca="1" si="791">SUM(F858:K858)</f>
        <v>28527156.450000003</v>
      </c>
    </row>
    <row r="859" spans="1:13" outlineLevel="1">
      <c r="A859" s="2" t="str">
        <f ca="1">OFFSET(Язык!$A$424,0,LANGUAGE)</f>
        <v>Затраты на материалы и комплектующие</v>
      </c>
      <c r="C859" s="6">
        <f t="shared" si="788"/>
        <v>0</v>
      </c>
      <c r="F859" s="26">
        <f t="shared" ref="F859:J859" ca="1" si="792">-(F269+F270)/IF(CUR_I_Report=2,F$98,1)</f>
        <v>0</v>
      </c>
      <c r="G859" s="26">
        <f t="shared" ca="1" si="792"/>
        <v>-1462500</v>
      </c>
      <c r="H859" s="26">
        <f t="shared" ca="1" si="792"/>
        <v>-3217499.9999999995</v>
      </c>
      <c r="I859" s="26">
        <f t="shared" ca="1" si="792"/>
        <v>-3539250</v>
      </c>
      <c r="J859" s="26">
        <f t="shared" ca="1" si="792"/>
        <v>-3893175</v>
      </c>
      <c r="K859" s="26">
        <f t="shared" ref="K859" ca="1" si="793">-(K269+K270)/IF(CUR_I_Report=2,K$98,1)</f>
        <v>-4282492.5000000009</v>
      </c>
      <c r="L859" s="26"/>
      <c r="M859" s="30">
        <f t="shared" ca="1" si="791"/>
        <v>-16394917.5</v>
      </c>
    </row>
    <row r="860" spans="1:13" outlineLevel="1">
      <c r="A860" s="2" t="str">
        <f ca="1">OFFSET(Язык!$A$425,0,LANGUAGE)</f>
        <v>Зарплата</v>
      </c>
      <c r="C860" s="6">
        <f t="shared" si="788"/>
        <v>0</v>
      </c>
      <c r="F860" s="26">
        <f t="shared" ref="F860:J860" si="794">-(F305)/IF(CUR_I_Report=2,F$98,1)</f>
        <v>0</v>
      </c>
      <c r="G860" s="26">
        <f t="shared" ca="1" si="794"/>
        <v>-78900</v>
      </c>
      <c r="H860" s="26">
        <f t="shared" si="794"/>
        <v>-44220</v>
      </c>
      <c r="I860" s="26">
        <f t="shared" ca="1" si="794"/>
        <v>-381876</v>
      </c>
      <c r="J860" s="26">
        <f t="shared" ca="1" si="794"/>
        <v>-420063.60000000003</v>
      </c>
      <c r="K860" s="26">
        <f t="shared" ref="K860" ca="1" si="795">-(K305)/IF(CUR_I_Report=2,K$98,1)</f>
        <v>-462069.96</v>
      </c>
      <c r="L860" s="26"/>
      <c r="M860" s="30">
        <f t="shared" ca="1" si="791"/>
        <v>-1387129.56</v>
      </c>
    </row>
    <row r="861" spans="1:13" outlineLevel="1">
      <c r="A861" s="2" t="str">
        <f ca="1">OFFSET(Язык!$A$426,0,LANGUAGE)</f>
        <v>Общие затраты</v>
      </c>
      <c r="C861" s="6">
        <f t="shared" si="788"/>
        <v>0</v>
      </c>
      <c r="F861" s="26">
        <f t="shared" ref="F861:J861" si="796">-(F375+F378+F381)/IF(CUR_I_Report=2,F$98,1)</f>
        <v>0</v>
      </c>
      <c r="G861" s="26">
        <f t="shared" ca="1" si="796"/>
        <v>-352925</v>
      </c>
      <c r="H861" s="26">
        <f t="shared" ca="1" si="796"/>
        <v>-390850.00000000006</v>
      </c>
      <c r="I861" s="26">
        <f t="shared" ca="1" si="796"/>
        <v>-429935.00000000012</v>
      </c>
      <c r="J861" s="26">
        <f t="shared" ca="1" si="796"/>
        <v>-472928.50000000017</v>
      </c>
      <c r="K861" s="26">
        <f t="shared" ref="K861" ca="1" si="797">-(K375+K378+K381)/IF(CUR_I_Report=2,K$98,1)</f>
        <v>-520221.35000000021</v>
      </c>
      <c r="L861" s="26"/>
      <c r="M861" s="30">
        <f t="shared" ca="1" si="791"/>
        <v>-2166859.8500000006</v>
      </c>
    </row>
    <row r="862" spans="1:13" outlineLevel="1">
      <c r="A862" s="2" t="str">
        <f ca="1">OFFSET(Язык!$A$427,0,LANGUAGE)</f>
        <v>Налоги</v>
      </c>
      <c r="C862" s="6">
        <f t="shared" si="788"/>
        <v>0</v>
      </c>
      <c r="F862" s="26">
        <f t="shared" ref="F862:J862" ca="1" si="798">-F745/IF(CUR_I_Report=2,F$98,1)</f>
        <v>0</v>
      </c>
      <c r="G862" s="26">
        <f t="shared" ca="1" si="798"/>
        <v>-209009.77142857143</v>
      </c>
      <c r="H862" s="26">
        <f t="shared" ca="1" si="798"/>
        <v>-135728.89214285734</v>
      </c>
      <c r="I862" s="26">
        <f t="shared" ca="1" si="798"/>
        <v>-551301.76157142885</v>
      </c>
      <c r="J862" s="26">
        <f t="shared" ca="1" si="798"/>
        <v>-635974.88380000042</v>
      </c>
      <c r="K862" s="26">
        <f t="shared" ref="K862" ca="1" si="799">-K745/IF(CUR_I_Report=2,K$98,1)</f>
        <v>-726821.1561085718</v>
      </c>
      <c r="L862" s="26"/>
      <c r="M862" s="30">
        <f t="shared" ca="1" si="791"/>
        <v>-2258836.4650514298</v>
      </c>
    </row>
    <row r="863" spans="1:13" outlineLevel="1">
      <c r="A863" s="2" t="str">
        <f ca="1">OFFSET(Язык!$A$428,0,LANGUAGE)</f>
        <v>Выплата процентов по кредитам</v>
      </c>
      <c r="C863" s="6">
        <f t="shared" si="788"/>
        <v>0</v>
      </c>
      <c r="F863" s="26">
        <f t="shared" ref="F863:J863" si="800">-F631/IF(CUR_I_Report=2,F$98,1)</f>
        <v>0</v>
      </c>
      <c r="G863" s="26">
        <f t="shared" si="800"/>
        <v>0</v>
      </c>
      <c r="H863" s="26">
        <f t="shared" si="800"/>
        <v>-406840.00000000006</v>
      </c>
      <c r="I863" s="26">
        <f t="shared" si="800"/>
        <v>-271040</v>
      </c>
      <c r="J863" s="26">
        <f t="shared" si="800"/>
        <v>-135240</v>
      </c>
      <c r="K863" s="26">
        <f t="shared" ref="K863" si="801">-K631/IF(CUR_I_Report=2,K$98,1)</f>
        <v>0</v>
      </c>
      <c r="L863" s="26"/>
      <c r="M863" s="30">
        <f t="shared" si="791"/>
        <v>-813120</v>
      </c>
    </row>
    <row r="864" spans="1:13" outlineLevel="1">
      <c r="A864" s="2" t="str">
        <f ca="1">OFFSET(Язык!$A$429,0,LANGUAGE)</f>
        <v>Прочие поступления</v>
      </c>
      <c r="C864" s="6">
        <f t="shared" si="788"/>
        <v>0</v>
      </c>
      <c r="F864" s="26">
        <f t="shared" ref="F864:J864" si="802">(MAX(F830,0)+MAX(F838,0)+F836)/IF(CUR_I_Report=2,F$98,1)</f>
        <v>0</v>
      </c>
      <c r="G864" s="26">
        <f t="shared" ca="1" si="802"/>
        <v>0</v>
      </c>
      <c r="H864" s="26">
        <f t="shared" ca="1" si="802"/>
        <v>0</v>
      </c>
      <c r="I864" s="26">
        <f t="shared" ca="1" si="802"/>
        <v>0</v>
      </c>
      <c r="J864" s="26">
        <f t="shared" ca="1" si="802"/>
        <v>0</v>
      </c>
      <c r="K864" s="26">
        <f t="shared" ref="K864" ca="1" si="803">(MAX(K830,0)+MAX(K838,0)+K836)/IF(CUR_I_Report=2,K$98,1)</f>
        <v>0</v>
      </c>
      <c r="L864" s="26"/>
      <c r="M864" s="30">
        <f t="shared" ca="1" si="791"/>
        <v>0</v>
      </c>
    </row>
    <row r="865" spans="1:13" outlineLevel="1">
      <c r="A865" s="2" t="str">
        <f ca="1">OFFSET(Язык!$A$430,0,LANGUAGE)</f>
        <v>Прочие затраты</v>
      </c>
      <c r="C865" s="6">
        <f t="shared" si="788"/>
        <v>0</v>
      </c>
      <c r="F865" s="26">
        <f t="shared" ref="F865:J865" si="804">(MIN(F830,0)+MIN(F838,0))/IF(CUR_I_Report=2,F$98,1)</f>
        <v>0</v>
      </c>
      <c r="G865" s="26">
        <f t="shared" si="804"/>
        <v>0</v>
      </c>
      <c r="H865" s="26">
        <f t="shared" si="804"/>
        <v>0</v>
      </c>
      <c r="I865" s="26">
        <f t="shared" si="804"/>
        <v>0</v>
      </c>
      <c r="J865" s="26">
        <f t="shared" si="804"/>
        <v>0</v>
      </c>
      <c r="K865" s="26">
        <f t="shared" ref="K865" si="805">(MIN(K830,0)+MIN(K838,0))/IF(CUR_I_Report=2,K$98,1)</f>
        <v>0</v>
      </c>
      <c r="L865" s="26"/>
      <c r="M865" s="30">
        <f t="shared" si="791"/>
        <v>0</v>
      </c>
    </row>
    <row r="866" spans="1:13" outlineLevel="1">
      <c r="F866" s="26"/>
      <c r="G866" s="26"/>
      <c r="H866" s="26"/>
      <c r="I866" s="26"/>
      <c r="J866" s="26"/>
      <c r="K866" s="26"/>
      <c r="L866" s="26"/>
      <c r="M866" s="30"/>
    </row>
    <row r="867" spans="1:13" outlineLevel="1">
      <c r="A867" s="32" t="str">
        <f ca="1">OFFSET(Язык!$A$431,0,LANGUAGE)</f>
        <v>Денежные потоки от операционной деятельности</v>
      </c>
      <c r="B867" s="63"/>
      <c r="C867" s="6">
        <f>CUR_Report</f>
        <v>0</v>
      </c>
      <c r="D867" s="32"/>
      <c r="E867" s="32"/>
      <c r="F867" s="62">
        <f t="shared" ref="F867:J867" ca="1" si="806">SUM(F858:F865)</f>
        <v>0</v>
      </c>
      <c r="G867" s="62">
        <f t="shared" ca="1" si="806"/>
        <v>441415.22857142857</v>
      </c>
      <c r="H867" s="62">
        <f t="shared" ca="1" si="806"/>
        <v>1403311.107857143</v>
      </c>
      <c r="I867" s="62">
        <f t="shared" ca="1" si="806"/>
        <v>984892.23842857219</v>
      </c>
      <c r="J867" s="62">
        <f t="shared" ca="1" si="806"/>
        <v>1216742.5162000011</v>
      </c>
      <c r="K867" s="62">
        <f t="shared" ref="K867" ca="1" si="807">SUM(K858:K865)</f>
        <v>1459931.9838914303</v>
      </c>
      <c r="L867" s="62"/>
      <c r="M867" s="27">
        <f t="shared" ca="1" si="791"/>
        <v>5506293.0749485753</v>
      </c>
    </row>
    <row r="868" spans="1:13" outlineLevel="1">
      <c r="F868" s="26"/>
      <c r="G868" s="26"/>
      <c r="H868" s="26"/>
      <c r="I868" s="26"/>
      <c r="J868" s="26"/>
      <c r="K868" s="26"/>
      <c r="L868" s="26"/>
      <c r="M868" s="30"/>
    </row>
    <row r="869" spans="1:13" outlineLevel="1">
      <c r="A869" s="2" t="str">
        <f ca="1">OFFSET(Язык!$A$432,0,LANGUAGE)</f>
        <v>Инвестиции в здания и сооружения</v>
      </c>
      <c r="C869" s="6">
        <f>CUR_Report</f>
        <v>0</v>
      </c>
      <c r="F869" s="26">
        <f t="shared" ref="F869:J869" si="808">-F461/IF(CUR_I_Report=2,F$98,1)</f>
        <v>0</v>
      </c>
      <c r="G869" s="26">
        <f t="shared" si="808"/>
        <v>-1609900</v>
      </c>
      <c r="H869" s="26">
        <f t="shared" si="808"/>
        <v>0</v>
      </c>
      <c r="I869" s="26">
        <f t="shared" si="808"/>
        <v>0</v>
      </c>
      <c r="J869" s="26">
        <f t="shared" si="808"/>
        <v>0</v>
      </c>
      <c r="K869" s="26">
        <f t="shared" ref="K869" si="809">-K461/IF(CUR_I_Report=2,K$98,1)</f>
        <v>0</v>
      </c>
      <c r="L869" s="26"/>
      <c r="M869" s="30">
        <f t="shared" si="791"/>
        <v>-1609900</v>
      </c>
    </row>
    <row r="870" spans="1:13" outlineLevel="1">
      <c r="A870" s="2" t="str">
        <f ca="1">OFFSET(Язык!$A$433,0,LANGUAGE)</f>
        <v>Инвестиции в оборудование и другие активы</v>
      </c>
      <c r="C870" s="6">
        <f>CUR_Report</f>
        <v>0</v>
      </c>
      <c r="F870" s="26">
        <f t="shared" ref="F870:J870" si="810">-(F474+F481+F522)/IF(CUR_I_Report=2,F$98,1)</f>
        <v>0</v>
      </c>
      <c r="G870" s="26">
        <f t="shared" si="810"/>
        <v>-1296099.9999999998</v>
      </c>
      <c r="H870" s="26">
        <f t="shared" si="810"/>
        <v>0</v>
      </c>
      <c r="I870" s="26">
        <f t="shared" si="810"/>
        <v>0</v>
      </c>
      <c r="J870" s="26">
        <f t="shared" si="810"/>
        <v>0</v>
      </c>
      <c r="K870" s="26">
        <f t="shared" ref="K870" si="811">-(K474+K481+K522)/IF(CUR_I_Report=2,K$98,1)</f>
        <v>0</v>
      </c>
      <c r="L870" s="26"/>
      <c r="M870" s="30">
        <f t="shared" si="791"/>
        <v>-1296099.9999999998</v>
      </c>
    </row>
    <row r="871" spans="1:13" outlineLevel="1">
      <c r="A871" s="2" t="str">
        <f ca="1">OFFSET(Язык!$A$434,0,LANGUAGE)</f>
        <v>Оплата расходов будущих периодов</v>
      </c>
      <c r="C871" s="6">
        <f>CUR_Report</f>
        <v>0</v>
      </c>
      <c r="F871" s="26">
        <f t="shared" ref="F871:J871" si="812">-F486/IF(CUR_I_Report=2,F$98,1)</f>
        <v>0</v>
      </c>
      <c r="G871" s="26">
        <f t="shared" si="812"/>
        <v>0</v>
      </c>
      <c r="H871" s="26">
        <f t="shared" si="812"/>
        <v>0</v>
      </c>
      <c r="I871" s="26">
        <f t="shared" si="812"/>
        <v>0</v>
      </c>
      <c r="J871" s="26">
        <f t="shared" si="812"/>
        <v>0</v>
      </c>
      <c r="K871" s="26">
        <f t="shared" ref="K871" si="813">-K486/IF(CUR_I_Report=2,K$98,1)</f>
        <v>0</v>
      </c>
      <c r="L871" s="26"/>
      <c r="M871" s="30">
        <f t="shared" si="791"/>
        <v>0</v>
      </c>
    </row>
    <row r="872" spans="1:13" outlineLevel="1">
      <c r="A872" s="2" t="str">
        <f ca="1">OFFSET(Язык!$A$435,0,LANGUAGE)</f>
        <v>Инвестиции в оборотный капитал</v>
      </c>
      <c r="C872" s="6">
        <f>CUR_Report</f>
        <v>0</v>
      </c>
      <c r="F872" s="26">
        <f t="shared" ref="F872:J872" si="814">-F591/IF(CUR_I_Report=2,F$98,1)</f>
        <v>0</v>
      </c>
      <c r="G872" s="26">
        <f t="shared" ca="1" si="814"/>
        <v>84629.656944444461</v>
      </c>
      <c r="H872" s="26">
        <f t="shared" ca="1" si="814"/>
        <v>42207.909756944544</v>
      </c>
      <c r="I872" s="26">
        <f t="shared" ca="1" si="814"/>
        <v>12520.968371031806</v>
      </c>
      <c r="J872" s="26">
        <f t="shared" ca="1" si="814"/>
        <v>52013.98071706359</v>
      </c>
      <c r="K872" s="26">
        <f t="shared" ref="K872" ca="1" si="815">-K591/IF(CUR_I_Report=2,K$98,1)</f>
        <v>54420.743654841237</v>
      </c>
      <c r="L872" s="26"/>
      <c r="M872" s="30">
        <f t="shared" ca="1" si="791"/>
        <v>245793.25944432564</v>
      </c>
    </row>
    <row r="873" spans="1:13" outlineLevel="1">
      <c r="A873" s="2" t="str">
        <f ca="1">OFFSET(Язык!$A$436,0,LANGUAGE)</f>
        <v>Выручка от реализации активов</v>
      </c>
      <c r="C873" s="6">
        <f>CUR_Report</f>
        <v>0</v>
      </c>
      <c r="F873" s="26"/>
      <c r="G873" s="26">
        <f t="shared" ref="G873:J873" si="816">(G470+G472+G483+G485)/IF(CUR_I_Report=2,G$98,1)</f>
        <v>0</v>
      </c>
      <c r="H873" s="26">
        <f t="shared" si="816"/>
        <v>0</v>
      </c>
      <c r="I873" s="26">
        <f t="shared" si="816"/>
        <v>0</v>
      </c>
      <c r="J873" s="26">
        <f t="shared" si="816"/>
        <v>0</v>
      </c>
      <c r="K873" s="26">
        <f t="shared" ref="K873" si="817">(K470+K472+K483+K485)/IF(CUR_I_Report=2,K$98,1)</f>
        <v>0</v>
      </c>
      <c r="L873" s="26"/>
      <c r="M873" s="30">
        <f t="shared" si="791"/>
        <v>0</v>
      </c>
    </row>
    <row r="874" spans="1:13" outlineLevel="1">
      <c r="F874" s="26"/>
      <c r="G874" s="26"/>
      <c r="H874" s="26"/>
      <c r="I874" s="26"/>
      <c r="J874" s="26"/>
      <c r="K874" s="26"/>
      <c r="L874" s="26"/>
      <c r="M874" s="30"/>
    </row>
    <row r="875" spans="1:13" outlineLevel="1">
      <c r="A875" s="32" t="str">
        <f ca="1">OFFSET(Язык!$A$437,0,LANGUAGE)</f>
        <v>Денежные потоки от инвестиционной деятельности</v>
      </c>
      <c r="B875" s="63"/>
      <c r="C875" s="6">
        <f>CUR_Report</f>
        <v>0</v>
      </c>
      <c r="D875" s="32"/>
      <c r="E875" s="32"/>
      <c r="F875" s="62">
        <f t="shared" ref="F875:J875" si="818">SUM(F869:F873)</f>
        <v>0</v>
      </c>
      <c r="G875" s="62">
        <f t="shared" ca="1" si="818"/>
        <v>-2821370.3430555556</v>
      </c>
      <c r="H875" s="62">
        <f t="shared" ca="1" si="818"/>
        <v>42207.909756944544</v>
      </c>
      <c r="I875" s="62">
        <f t="shared" ca="1" si="818"/>
        <v>12520.968371031806</v>
      </c>
      <c r="J875" s="62">
        <f t="shared" ca="1" si="818"/>
        <v>52013.98071706359</v>
      </c>
      <c r="K875" s="62">
        <f t="shared" ref="K875" ca="1" si="819">SUM(K869:K873)</f>
        <v>54420.743654841237</v>
      </c>
      <c r="L875" s="62"/>
      <c r="M875" s="27">
        <f t="shared" ca="1" si="791"/>
        <v>-2660206.7405556748</v>
      </c>
    </row>
    <row r="876" spans="1:13" outlineLevel="1">
      <c r="F876" s="26"/>
      <c r="G876" s="26"/>
      <c r="H876" s="26"/>
      <c r="I876" s="26"/>
      <c r="J876" s="26"/>
      <c r="K876" s="26"/>
      <c r="L876" s="26"/>
      <c r="M876" s="30"/>
    </row>
    <row r="877" spans="1:13" outlineLevel="1">
      <c r="A877" s="2" t="str">
        <f ca="1">OFFSET(Язык!$A$438,0,LANGUAGE)</f>
        <v>Поступления акционерного капитала</v>
      </c>
      <c r="C877" s="6">
        <f t="shared" ref="C877:C882" si="820">CUR_Report</f>
        <v>0</v>
      </c>
      <c r="F877" s="26">
        <f>(F596+F603)/IF(CUR_I_Report=2,F$98,1)</f>
        <v>0</v>
      </c>
      <c r="G877" s="26">
        <f t="shared" ref="G877:J877" si="821">G596+G603</f>
        <v>0</v>
      </c>
      <c r="H877" s="26">
        <f t="shared" si="821"/>
        <v>0</v>
      </c>
      <c r="I877" s="26">
        <f t="shared" si="821"/>
        <v>0</v>
      </c>
      <c r="J877" s="26">
        <f t="shared" si="821"/>
        <v>0</v>
      </c>
      <c r="K877" s="26">
        <f t="shared" ref="K877" si="822">K596+K603</f>
        <v>0</v>
      </c>
      <c r="L877" s="26"/>
      <c r="M877" s="30">
        <f t="shared" si="791"/>
        <v>0</v>
      </c>
    </row>
    <row r="878" spans="1:13" outlineLevel="1">
      <c r="A878" s="2" t="str">
        <f ca="1">OFFSET(Язык!$A$439,0,LANGUAGE)</f>
        <v>Целевое финансирование</v>
      </c>
      <c r="C878" s="6">
        <f t="shared" si="820"/>
        <v>0</v>
      </c>
      <c r="F878" s="26">
        <f t="shared" ref="F878:J878" si="823">(F605)/IF(CUR_I_Report=2,F$98,1)</f>
        <v>0</v>
      </c>
      <c r="G878" s="26">
        <f t="shared" si="823"/>
        <v>0</v>
      </c>
      <c r="H878" s="26">
        <f t="shared" si="823"/>
        <v>0</v>
      </c>
      <c r="I878" s="26">
        <f t="shared" si="823"/>
        <v>0</v>
      </c>
      <c r="J878" s="26">
        <f t="shared" si="823"/>
        <v>0</v>
      </c>
      <c r="K878" s="26">
        <f t="shared" ref="K878" si="824">(K605)/IF(CUR_I_Report=2,K$98,1)</f>
        <v>0</v>
      </c>
      <c r="L878" s="26"/>
      <c r="M878" s="30">
        <f t="shared" si="791"/>
        <v>0</v>
      </c>
    </row>
    <row r="879" spans="1:13" outlineLevel="1">
      <c r="A879" s="2" t="str">
        <f ca="1">OFFSET(Язык!$A$440,0,LANGUAGE)</f>
        <v>Поступления кредитов</v>
      </c>
      <c r="C879" s="6">
        <f t="shared" si="820"/>
        <v>0</v>
      </c>
      <c r="F879" s="26">
        <f t="shared" ref="F879:J879" si="825">F629/IF(CUR_I_Report=2,F$98,1)</f>
        <v>0</v>
      </c>
      <c r="G879" s="26">
        <f t="shared" si="825"/>
        <v>2906000</v>
      </c>
      <c r="H879" s="26">
        <f t="shared" si="825"/>
        <v>0</v>
      </c>
      <c r="I879" s="26">
        <f t="shared" si="825"/>
        <v>0</v>
      </c>
      <c r="J879" s="26">
        <f t="shared" si="825"/>
        <v>0</v>
      </c>
      <c r="K879" s="26">
        <f t="shared" ref="K879" si="826">K629/IF(CUR_I_Report=2,K$98,1)</f>
        <v>0</v>
      </c>
      <c r="L879" s="26"/>
      <c r="M879" s="30">
        <f t="shared" si="791"/>
        <v>2906000</v>
      </c>
    </row>
    <row r="880" spans="1:13" outlineLevel="1">
      <c r="A880" s="2" t="str">
        <f ca="1">OFFSET(Язык!$A$441,0,LANGUAGE)</f>
        <v>Возврат кредитов</v>
      </c>
      <c r="C880" s="6">
        <f t="shared" si="820"/>
        <v>0</v>
      </c>
      <c r="F880" s="26">
        <f t="shared" ref="F880:J880" si="827">-F630/IF(CUR_I_Report=2,F$98,1)</f>
        <v>0</v>
      </c>
      <c r="G880" s="26">
        <f t="shared" si="827"/>
        <v>0</v>
      </c>
      <c r="H880" s="26">
        <f t="shared" si="827"/>
        <v>-970000</v>
      </c>
      <c r="I880" s="26">
        <f t="shared" si="827"/>
        <v>-970000</v>
      </c>
      <c r="J880" s="26">
        <f t="shared" si="827"/>
        <v>-966000</v>
      </c>
      <c r="K880" s="26">
        <f t="shared" ref="K880" si="828">-K630/IF(CUR_I_Report=2,K$98,1)</f>
        <v>0</v>
      </c>
      <c r="L880" s="26"/>
      <c r="M880" s="30">
        <f t="shared" si="791"/>
        <v>-2906000</v>
      </c>
    </row>
    <row r="881" spans="1:13" outlineLevel="1">
      <c r="A881" s="2" t="str">
        <f ca="1">OFFSET(Язык!$A$442,0,LANGUAGE)</f>
        <v>Лизинговые платежи</v>
      </c>
      <c r="C881" s="6">
        <f t="shared" si="820"/>
        <v>0</v>
      </c>
      <c r="F881" s="26">
        <f t="shared" ref="F881:J881" ca="1" si="829">-F521/IF(CUR_I_Report=2,F$98,1)</f>
        <v>0</v>
      </c>
      <c r="G881" s="26">
        <f t="shared" ca="1" si="829"/>
        <v>0</v>
      </c>
      <c r="H881" s="26">
        <f t="shared" ca="1" si="829"/>
        <v>0</v>
      </c>
      <c r="I881" s="26">
        <f t="shared" ca="1" si="829"/>
        <v>0</v>
      </c>
      <c r="J881" s="26">
        <f t="shared" ca="1" si="829"/>
        <v>0</v>
      </c>
      <c r="K881" s="26">
        <f t="shared" ref="K881" ca="1" si="830">-K521/IF(CUR_I_Report=2,K$98,1)</f>
        <v>0</v>
      </c>
      <c r="L881" s="26"/>
      <c r="M881" s="30">
        <f t="shared" ca="1" si="791"/>
        <v>0</v>
      </c>
    </row>
    <row r="882" spans="1:13" outlineLevel="1">
      <c r="A882" s="2" t="str">
        <f ca="1">OFFSET(Язык!$A$443,0,LANGUAGE)</f>
        <v>Выплата дивидендов</v>
      </c>
      <c r="C882" s="6">
        <f t="shared" si="820"/>
        <v>0</v>
      </c>
      <c r="F882" s="26"/>
      <c r="G882" s="26">
        <f t="shared" ref="G882:J882" ca="1" si="831">-G770</f>
        <v>0</v>
      </c>
      <c r="H882" s="26">
        <f t="shared" ca="1" si="831"/>
        <v>0</v>
      </c>
      <c r="I882" s="26">
        <f t="shared" ca="1" si="831"/>
        <v>0</v>
      </c>
      <c r="J882" s="26">
        <f t="shared" ca="1" si="831"/>
        <v>0</v>
      </c>
      <c r="K882" s="26">
        <f t="shared" ref="K882" ca="1" si="832">-K770</f>
        <v>0</v>
      </c>
      <c r="L882" s="26"/>
      <c r="M882" s="30">
        <f t="shared" ca="1" si="791"/>
        <v>0</v>
      </c>
    </row>
    <row r="883" spans="1:13" outlineLevel="1">
      <c r="F883" s="26"/>
      <c r="G883" s="26"/>
      <c r="H883" s="26"/>
      <c r="I883" s="26"/>
      <c r="J883" s="26"/>
      <c r="K883" s="26"/>
      <c r="L883" s="26"/>
      <c r="M883" s="30">
        <f t="shared" si="791"/>
        <v>0</v>
      </c>
    </row>
    <row r="884" spans="1:13" outlineLevel="1">
      <c r="A884" s="32" t="str">
        <f ca="1">OFFSET(Язык!$A$444,0,LANGUAGE)</f>
        <v>Денежные потоки от финансовой деятельности</v>
      </c>
      <c r="B884" s="63"/>
      <c r="C884" s="6">
        <f>CUR_Report</f>
        <v>0</v>
      </c>
      <c r="D884" s="32"/>
      <c r="E884" s="32"/>
      <c r="F884" s="62">
        <f t="shared" ref="F884:J884" ca="1" si="833">SUM(F877:F882)</f>
        <v>0</v>
      </c>
      <c r="G884" s="62">
        <f t="shared" ca="1" si="833"/>
        <v>2906000</v>
      </c>
      <c r="H884" s="62">
        <f t="shared" ca="1" si="833"/>
        <v>-970000</v>
      </c>
      <c r="I884" s="62">
        <f t="shared" ca="1" si="833"/>
        <v>-970000</v>
      </c>
      <c r="J884" s="62">
        <f t="shared" ca="1" si="833"/>
        <v>-966000</v>
      </c>
      <c r="K884" s="62">
        <f t="shared" ref="K884" ca="1" si="834">SUM(K877:K882)</f>
        <v>0</v>
      </c>
      <c r="L884" s="62"/>
      <c r="M884" s="27">
        <f t="shared" ca="1" si="791"/>
        <v>0</v>
      </c>
    </row>
    <row r="885" spans="1:13" outlineLevel="1">
      <c r="F885" s="26"/>
      <c r="G885" s="26"/>
      <c r="H885" s="26"/>
      <c r="I885" s="26"/>
      <c r="J885" s="26"/>
      <c r="K885" s="26"/>
      <c r="L885" s="26"/>
      <c r="M885" s="30"/>
    </row>
    <row r="886" spans="1:13" outlineLevel="1">
      <c r="A886" s="32" t="str">
        <f ca="1">OFFSET(Язык!$A$445,0,LANGUAGE)</f>
        <v>Суммарный денежный поток за период</v>
      </c>
      <c r="B886" s="63"/>
      <c r="C886" s="6">
        <f>CUR_Report</f>
        <v>0</v>
      </c>
      <c r="D886" s="32"/>
      <c r="E886" s="32"/>
      <c r="F886" s="62">
        <f t="shared" ref="F886:J886" ca="1" si="835">F867+F875+F884</f>
        <v>0</v>
      </c>
      <c r="G886" s="62">
        <f t="shared" ca="1" si="835"/>
        <v>526044.88551587285</v>
      </c>
      <c r="H886" s="62">
        <f t="shared" ca="1" si="835"/>
        <v>475519.01761408756</v>
      </c>
      <c r="I886" s="62">
        <f t="shared" ca="1" si="835"/>
        <v>27413.206799603999</v>
      </c>
      <c r="J886" s="62">
        <f t="shared" ca="1" si="835"/>
        <v>302756.49691706477</v>
      </c>
      <c r="K886" s="62">
        <f t="shared" ref="K886" ca="1" si="836">K867+K875+K884</f>
        <v>1514352.7275462716</v>
      </c>
      <c r="L886" s="62"/>
      <c r="M886" s="27">
        <f t="shared" ca="1" si="791"/>
        <v>2846086.3343929006</v>
      </c>
    </row>
    <row r="887" spans="1:13" outlineLevel="1">
      <c r="A887" s="43" t="str">
        <f ca="1">OFFSET(Язык!$A$446,0,LANGUAGE)</f>
        <v>Денежные средства на конец периода</v>
      </c>
      <c r="B887" s="41"/>
      <c r="C887" s="41">
        <f>CUR_Report</f>
        <v>0</v>
      </c>
      <c r="D887" s="43" t="s">
        <v>1736</v>
      </c>
      <c r="E887" s="43"/>
      <c r="F887" s="57">
        <f ca="1">E887+F886</f>
        <v>0</v>
      </c>
      <c r="G887" s="57">
        <f t="shared" ref="G887:K887" ca="1" si="837">F887*IF(CUR_I_Report=2,F$98/G$98,1)+G886</f>
        <v>526044.88551587285</v>
      </c>
      <c r="H887" s="57">
        <f t="shared" ca="1" si="837"/>
        <v>1001563.9031299604</v>
      </c>
      <c r="I887" s="57">
        <f t="shared" ca="1" si="837"/>
        <v>1028977.1099295644</v>
      </c>
      <c r="J887" s="57">
        <f t="shared" ca="1" si="837"/>
        <v>1331733.6068466292</v>
      </c>
      <c r="K887" s="57">
        <f t="shared" ca="1" si="837"/>
        <v>2846086.3343929006</v>
      </c>
      <c r="L887" s="57"/>
      <c r="M887" s="57"/>
    </row>
    <row r="888" spans="1:13" outlineLevel="1"/>
    <row r="889" spans="1:13" outlineLevel="1" collapsed="1">
      <c r="A889" s="37"/>
      <c r="B889" s="76"/>
    </row>
    <row r="890" spans="1:13" hidden="1" outlineLevel="2">
      <c r="B890" s="76"/>
    </row>
    <row r="891" spans="1:13" hidden="1" outlineLevel="2">
      <c r="B891" s="76"/>
    </row>
    <row r="892" spans="1:13" hidden="1" outlineLevel="2">
      <c r="B892" s="76"/>
    </row>
    <row r="893" spans="1:13" hidden="1" outlineLevel="2">
      <c r="B893" s="76"/>
    </row>
    <row r="894" spans="1:13" hidden="1" outlineLevel="2">
      <c r="B894" s="76"/>
    </row>
    <row r="895" spans="1:13" hidden="1" outlineLevel="2">
      <c r="B895" s="76"/>
    </row>
    <row r="896" spans="1:13" hidden="1" outlineLevel="2">
      <c r="B896" s="76"/>
    </row>
    <row r="897" spans="2:2" hidden="1" outlineLevel="2">
      <c r="B897" s="76"/>
    </row>
    <row r="898" spans="2:2" hidden="1" outlineLevel="2">
      <c r="B898" s="76"/>
    </row>
    <row r="899" spans="2:2" hidden="1" outlineLevel="2">
      <c r="B899" s="76"/>
    </row>
    <row r="900" spans="2:2" hidden="1" outlineLevel="2">
      <c r="B900" s="76"/>
    </row>
    <row r="901" spans="2:2" hidden="1" outlineLevel="2">
      <c r="B901" s="76"/>
    </row>
    <row r="902" spans="2:2" hidden="1" outlineLevel="2">
      <c r="B902" s="76"/>
    </row>
    <row r="903" spans="2:2" hidden="1" outlineLevel="2">
      <c r="B903" s="76"/>
    </row>
    <row r="904" spans="2:2" hidden="1" outlineLevel="2">
      <c r="B904" s="76"/>
    </row>
    <row r="905" spans="2:2" hidden="1" outlineLevel="2">
      <c r="B905" s="76"/>
    </row>
    <row r="906" spans="2:2" hidden="1" outlineLevel="2">
      <c r="B906" s="76"/>
    </row>
    <row r="907" spans="2:2" hidden="1" outlineLevel="2">
      <c r="B907" s="76"/>
    </row>
    <row r="908" spans="2:2" hidden="1" outlineLevel="2">
      <c r="B908" s="76"/>
    </row>
    <row r="909" spans="2:2" hidden="1" outlineLevel="2">
      <c r="B909" s="76"/>
    </row>
    <row r="910" spans="2:2" hidden="1" outlineLevel="2">
      <c r="B910" s="76"/>
    </row>
    <row r="911" spans="2:2" hidden="1" outlineLevel="2">
      <c r="B911" s="76"/>
    </row>
    <row r="912" spans="2:2" hidden="1" outlineLevel="2">
      <c r="B912" s="76"/>
    </row>
    <row r="913" spans="1:2" outlineLevel="1"/>
    <row r="914" spans="1:2" outlineLevel="1" collapsed="1">
      <c r="A914" s="37"/>
      <c r="B914" s="76"/>
    </row>
    <row r="915" spans="1:2" hidden="1" outlineLevel="2">
      <c r="B915" s="76"/>
    </row>
    <row r="916" spans="1:2" hidden="1" outlineLevel="2">
      <c r="B916" s="76"/>
    </row>
    <row r="917" spans="1:2" hidden="1" outlineLevel="2">
      <c r="B917" s="76"/>
    </row>
    <row r="918" spans="1:2" hidden="1" outlineLevel="2">
      <c r="B918" s="76"/>
    </row>
    <row r="919" spans="1:2" hidden="1" outlineLevel="2">
      <c r="B919" s="76"/>
    </row>
    <row r="920" spans="1:2" hidden="1" outlineLevel="2">
      <c r="B920" s="76"/>
    </row>
    <row r="921" spans="1:2" hidden="1" outlineLevel="2">
      <c r="B921" s="76"/>
    </row>
    <row r="922" spans="1:2" hidden="1" outlineLevel="2">
      <c r="B922" s="76"/>
    </row>
    <row r="923" spans="1:2" hidden="1" outlineLevel="2">
      <c r="B923" s="76"/>
    </row>
    <row r="924" spans="1:2" hidden="1" outlineLevel="2">
      <c r="B924" s="76"/>
    </row>
    <row r="925" spans="1:2" hidden="1" outlineLevel="2">
      <c r="B925" s="76"/>
    </row>
    <row r="926" spans="1:2" hidden="1" outlineLevel="2">
      <c r="B926" s="76"/>
    </row>
    <row r="927" spans="1:2" hidden="1" outlineLevel="2">
      <c r="B927" s="76"/>
    </row>
    <row r="928" spans="1:2" hidden="1" outlineLevel="2">
      <c r="B928" s="76"/>
    </row>
    <row r="929" spans="1:13" hidden="1" outlineLevel="2">
      <c r="B929" s="76"/>
    </row>
    <row r="930" spans="1:13" hidden="1" outlineLevel="2">
      <c r="B930" s="76"/>
    </row>
    <row r="931" spans="1:13" hidden="1" outlineLevel="2">
      <c r="B931" s="76"/>
    </row>
    <row r="932" spans="1:13" hidden="1" outlineLevel="2">
      <c r="B932" s="76"/>
    </row>
    <row r="933" spans="1:13" hidden="1" outlineLevel="2">
      <c r="B933" s="76"/>
    </row>
    <row r="934" spans="1:13" hidden="1" outlineLevel="2">
      <c r="B934" s="76"/>
    </row>
    <row r="935" spans="1:13" hidden="1" outlineLevel="2">
      <c r="B935" s="76"/>
    </row>
    <row r="936" spans="1:13" hidden="1" outlineLevel="2">
      <c r="B936" s="76"/>
    </row>
    <row r="937" spans="1:13" hidden="1" outlineLevel="2">
      <c r="B937" s="76"/>
    </row>
    <row r="938" spans="1:13" outlineLevel="1"/>
    <row r="939" spans="1:13" ht="12" outlineLevel="1" thickBot="1"/>
    <row r="940" spans="1:13" ht="15.95" customHeight="1" thickTop="1" thickBot="1">
      <c r="A940" s="18" t="str">
        <f ca="1">OFFSET(Язык!$A$449,0,LANGUAGE)</f>
        <v>БАЛАНС</v>
      </c>
      <c r="B940" s="23"/>
      <c r="C940" s="19"/>
      <c r="D940" s="18"/>
      <c r="E940" s="18"/>
      <c r="F940" s="19" t="str">
        <f t="shared" ref="F940:K940" si="838">PeriodTitle</f>
        <v>"0"</v>
      </c>
      <c r="G940" s="19">
        <f t="shared" si="838"/>
        <v>2013</v>
      </c>
      <c r="H940" s="19">
        <f t="shared" si="838"/>
        <v>2014</v>
      </c>
      <c r="I940" s="19">
        <f t="shared" si="838"/>
        <v>2015</v>
      </c>
      <c r="J940" s="19">
        <f t="shared" si="838"/>
        <v>2016</v>
      </c>
      <c r="K940" s="19">
        <f t="shared" si="838"/>
        <v>2017</v>
      </c>
      <c r="L940" s="19"/>
      <c r="M940" s="84"/>
    </row>
    <row r="941" spans="1:13" ht="12" outlineLevel="1" thickTop="1"/>
    <row r="942" spans="1:13" outlineLevel="1">
      <c r="A942" s="47" t="str">
        <f ca="1">OFFSET(Язык!$A$450,0,LANGUAGE)</f>
        <v>Деньги</v>
      </c>
      <c r="C942" s="6">
        <f t="shared" ref="C942:C951" si="839">CUR_Report</f>
        <v>0</v>
      </c>
      <c r="D942" s="2" t="s">
        <v>1736</v>
      </c>
      <c r="F942" s="26">
        <f t="shared" ref="F942:J942" ca="1" si="840">(F887+F582)/IF(CUR_I_Report=2,F$98,1)</f>
        <v>0</v>
      </c>
      <c r="G942" s="26">
        <f t="shared" ca="1" si="840"/>
        <v>563277.86607142841</v>
      </c>
      <c r="H942" s="26">
        <f t="shared" ca="1" si="840"/>
        <v>1072809.6542410715</v>
      </c>
      <c r="I942" s="26">
        <f t="shared" ca="1" si="840"/>
        <v>1115511.6691517867</v>
      </c>
      <c r="J942" s="26">
        <f t="shared" ca="1" si="840"/>
        <v>1426921.6219910737</v>
      </c>
      <c r="K942" s="26">
        <f t="shared" ref="K942" ca="1" si="841">(K887+K582)/IF(CUR_I_Report=2,K$98,1)</f>
        <v>2950793.1510517895</v>
      </c>
    </row>
    <row r="943" spans="1:13" outlineLevel="1">
      <c r="A943" s="47" t="str">
        <f ca="1">OFFSET(Язык!$A$451,0,LANGUAGE)</f>
        <v>Дебиторская задолженность</v>
      </c>
      <c r="C943" s="6">
        <f t="shared" si="839"/>
        <v>0</v>
      </c>
      <c r="D943" s="2" t="s">
        <v>1736</v>
      </c>
      <c r="F943" s="26">
        <f t="shared" ref="F943:J943" ca="1" si="842">F551/IF(CUR_I_Report=2,F$98,1)</f>
        <v>0</v>
      </c>
      <c r="G943" s="26">
        <f t="shared" ca="1" si="842"/>
        <v>0</v>
      </c>
      <c r="H943" s="26">
        <f t="shared" ca="1" si="842"/>
        <v>0</v>
      </c>
      <c r="I943" s="26">
        <f t="shared" ca="1" si="842"/>
        <v>0</v>
      </c>
      <c r="J943" s="26">
        <f t="shared" ca="1" si="842"/>
        <v>0</v>
      </c>
      <c r="K943" s="26">
        <f t="shared" ref="K943" ca="1" si="843">K551/IF(CUR_I_Report=2,K$98,1)</f>
        <v>0</v>
      </c>
    </row>
    <row r="944" spans="1:13" outlineLevel="1">
      <c r="A944" s="47" t="str">
        <f ca="1">OFFSET(Язык!$A$452,0,LANGUAGE)</f>
        <v>Авансы уплаченные</v>
      </c>
      <c r="C944" s="6">
        <f t="shared" si="839"/>
        <v>0</v>
      </c>
      <c r="D944" s="2" t="s">
        <v>1736</v>
      </c>
      <c r="F944" s="26">
        <f t="shared" ref="F944:J944" ca="1" si="844">(F566+MAX(F524,0))/IF(CUR_I_Report=2,F$98,1)</f>
        <v>0</v>
      </c>
      <c r="G944" s="26">
        <f t="shared" ca="1" si="844"/>
        <v>0</v>
      </c>
      <c r="H944" s="26">
        <f t="shared" ca="1" si="844"/>
        <v>0</v>
      </c>
      <c r="I944" s="26">
        <f t="shared" ca="1" si="844"/>
        <v>0</v>
      </c>
      <c r="J944" s="26">
        <f t="shared" ca="1" si="844"/>
        <v>0</v>
      </c>
      <c r="K944" s="26">
        <f t="shared" ref="K944" ca="1" si="845">(K566+MAX(K524,0))/IF(CUR_I_Report=2,K$98,1)</f>
        <v>0</v>
      </c>
    </row>
    <row r="945" spans="1:11" outlineLevel="1">
      <c r="A945" s="47" t="str">
        <f ca="1">OFFSET(Язык!$A$453,0,LANGUAGE)</f>
        <v>Готовая продукция</v>
      </c>
      <c r="C945" s="6">
        <f t="shared" si="839"/>
        <v>0</v>
      </c>
      <c r="D945" s="2" t="s">
        <v>1736</v>
      </c>
      <c r="F945" s="26">
        <f t="shared" ref="F945:J945" si="846">F541/IF(CUR_I_Report=2,F$98,1)</f>
        <v>0</v>
      </c>
      <c r="G945" s="26">
        <f t="shared" ca="1" si="846"/>
        <v>0</v>
      </c>
      <c r="H945" s="26">
        <f t="shared" ca="1" si="846"/>
        <v>0</v>
      </c>
      <c r="I945" s="26">
        <f t="shared" ca="1" si="846"/>
        <v>0</v>
      </c>
      <c r="J945" s="26">
        <f t="shared" ca="1" si="846"/>
        <v>0</v>
      </c>
      <c r="K945" s="26">
        <f t="shared" ref="K945" ca="1" si="847">K541/IF(CUR_I_Report=2,K$98,1)</f>
        <v>0</v>
      </c>
    </row>
    <row r="946" spans="1:11" outlineLevel="1">
      <c r="A946" s="47" t="str">
        <f ca="1">OFFSET(Язык!$A$454,0,LANGUAGE)</f>
        <v>Незавершенное производство</v>
      </c>
      <c r="C946" s="6">
        <f t="shared" si="839"/>
        <v>0</v>
      </c>
      <c r="D946" s="2" t="s">
        <v>1736</v>
      </c>
      <c r="F946" s="26">
        <f t="shared" ref="F946:J946" si="848">F539/IF(CUR_I_Report=2,F$98,1)</f>
        <v>0</v>
      </c>
      <c r="G946" s="26">
        <f t="shared" ca="1" si="848"/>
        <v>0</v>
      </c>
      <c r="H946" s="26">
        <f t="shared" ca="1" si="848"/>
        <v>0</v>
      </c>
      <c r="I946" s="26">
        <f t="shared" ca="1" si="848"/>
        <v>0</v>
      </c>
      <c r="J946" s="26">
        <f t="shared" ca="1" si="848"/>
        <v>0</v>
      </c>
      <c r="K946" s="26">
        <f t="shared" ref="K946" ca="1" si="849">K539/IF(CUR_I_Report=2,K$98,1)</f>
        <v>0</v>
      </c>
    </row>
    <row r="947" spans="1:11" outlineLevel="1">
      <c r="A947" s="47" t="str">
        <f ca="1">OFFSET(Язык!$A$455,0,LANGUAGE)</f>
        <v>Материалы и комплектующие</v>
      </c>
      <c r="C947" s="6">
        <f t="shared" si="839"/>
        <v>0</v>
      </c>
      <c r="D947" s="2" t="s">
        <v>1736</v>
      </c>
      <c r="F947" s="26">
        <f t="shared" ref="F947:J947" si="850">F535/IF(CUR_I_Report=2,F$98,1)</f>
        <v>0</v>
      </c>
      <c r="G947" s="26">
        <f t="shared" si="850"/>
        <v>0</v>
      </c>
      <c r="H947" s="26">
        <f t="shared" si="850"/>
        <v>0</v>
      </c>
      <c r="I947" s="26">
        <f t="shared" si="850"/>
        <v>0</v>
      </c>
      <c r="J947" s="26">
        <f t="shared" si="850"/>
        <v>0</v>
      </c>
      <c r="K947" s="26">
        <f t="shared" ref="K947" si="851">K535/IF(CUR_I_Report=2,K$98,1)</f>
        <v>0</v>
      </c>
    </row>
    <row r="948" spans="1:11" outlineLevel="1">
      <c r="A948" s="47" t="str">
        <f ca="1">OFFSET(Язык!$A$456,0,LANGUAGE)</f>
        <v>НДС на приобретенные товары</v>
      </c>
      <c r="C948" s="6">
        <f t="shared" si="839"/>
        <v>0</v>
      </c>
      <c r="D948" s="2" t="s">
        <v>1736</v>
      </c>
      <c r="F948" s="26">
        <f t="shared" ref="F948:J948" ca="1" si="852">(F693+F695)/IF(CUR_I_Report=2,F$98,1)</f>
        <v>0</v>
      </c>
      <c r="G948" s="26">
        <f t="shared" ca="1" si="852"/>
        <v>311357.14285714284</v>
      </c>
      <c r="H948" s="26">
        <f t="shared" ca="1" si="852"/>
        <v>0</v>
      </c>
      <c r="I948" s="26">
        <f t="shared" ca="1" si="852"/>
        <v>0</v>
      </c>
      <c r="J948" s="26">
        <f t="shared" ca="1" si="852"/>
        <v>0</v>
      </c>
      <c r="K948" s="26">
        <f t="shared" ref="K948" ca="1" si="853">(K693+K695)/IF(CUR_I_Report=2,K$98,1)</f>
        <v>0</v>
      </c>
    </row>
    <row r="949" spans="1:11" outlineLevel="1">
      <c r="A949" s="47" t="str">
        <f ca="1">OFFSET(Язык!$A$457,0,LANGUAGE)</f>
        <v>Расходы будущих периодов</v>
      </c>
      <c r="C949" s="6">
        <f t="shared" si="839"/>
        <v>0</v>
      </c>
      <c r="D949" s="2" t="s">
        <v>1736</v>
      </c>
      <c r="F949" s="26">
        <f t="shared" ref="F949:J949" si="854">F492/IF(CUR_I_Report=2,F$98,1)</f>
        <v>0</v>
      </c>
      <c r="G949" s="26">
        <f t="shared" ca="1" si="854"/>
        <v>0</v>
      </c>
      <c r="H949" s="26">
        <f t="shared" ca="1" si="854"/>
        <v>0</v>
      </c>
      <c r="I949" s="26">
        <f t="shared" ca="1" si="854"/>
        <v>0</v>
      </c>
      <c r="J949" s="26">
        <f t="shared" ca="1" si="854"/>
        <v>0</v>
      </c>
      <c r="K949" s="26">
        <f t="shared" ref="K949" ca="1" si="855">K492/IF(CUR_I_Report=2,K$98,1)</f>
        <v>0</v>
      </c>
    </row>
    <row r="950" spans="1:11" outlineLevel="1">
      <c r="A950" s="47" t="str">
        <f ca="1">OFFSET(Язык!$A$458,0,LANGUAGE)</f>
        <v>Прочие оборотные активы</v>
      </c>
      <c r="C950" s="6">
        <f t="shared" si="839"/>
        <v>0</v>
      </c>
      <c r="D950" s="2" t="s">
        <v>1736</v>
      </c>
      <c r="F950" s="26"/>
      <c r="G950" s="26"/>
      <c r="H950" s="26"/>
      <c r="I950" s="26"/>
      <c r="J950" s="26"/>
      <c r="K950" s="26"/>
    </row>
    <row r="951" spans="1:11" outlineLevel="1">
      <c r="A951" s="32" t="str">
        <f ca="1">OFFSET(Язык!$A$459,0,LANGUAGE)</f>
        <v>Суммарные оборотные активы</v>
      </c>
      <c r="C951" s="6">
        <f t="shared" si="839"/>
        <v>0</v>
      </c>
      <c r="D951" s="2" t="s">
        <v>1736</v>
      </c>
      <c r="F951" s="62">
        <f t="shared" ref="F951:J951" ca="1" si="856">SUM(F942:F950)</f>
        <v>0</v>
      </c>
      <c r="G951" s="62">
        <f t="shared" ca="1" si="856"/>
        <v>874635.00892857125</v>
      </c>
      <c r="H951" s="62">
        <f t="shared" ca="1" si="856"/>
        <v>1072809.6542410715</v>
      </c>
      <c r="I951" s="62">
        <f t="shared" ca="1" si="856"/>
        <v>1115511.6691517867</v>
      </c>
      <c r="J951" s="62">
        <f t="shared" ca="1" si="856"/>
        <v>1426921.6219910737</v>
      </c>
      <c r="K951" s="62">
        <f t="shared" ref="K951" ca="1" si="857">SUM(K942:K950)</f>
        <v>2950793.1510517895</v>
      </c>
    </row>
    <row r="952" spans="1:11" outlineLevel="1">
      <c r="F952" s="26"/>
      <c r="G952" s="26"/>
      <c r="H952" s="26"/>
      <c r="I952" s="26"/>
      <c r="J952" s="26"/>
      <c r="K952" s="26"/>
    </row>
    <row r="953" spans="1:11" outlineLevel="1">
      <c r="A953" s="47" t="str">
        <f ca="1">OFFSET(Язык!$A$460,0,LANGUAGE)</f>
        <v>Постоянные активы</v>
      </c>
      <c r="C953" s="6">
        <f>CUR_Report</f>
        <v>0</v>
      </c>
      <c r="D953" s="2" t="s">
        <v>1736</v>
      </c>
      <c r="F953" s="26">
        <f t="shared" ref="F953:J953" si="858">F954+F955</f>
        <v>0</v>
      </c>
      <c r="G953" s="26">
        <f t="shared" ca="1" si="858"/>
        <v>0</v>
      </c>
      <c r="H953" s="26">
        <f t="shared" ca="1" si="858"/>
        <v>2291325.8928571427</v>
      </c>
      <c r="I953" s="26">
        <f t="shared" ca="1" si="858"/>
        <v>1988008.9285714282</v>
      </c>
      <c r="J953" s="26">
        <f t="shared" ca="1" si="858"/>
        <v>1684691.9642857141</v>
      </c>
      <c r="K953" s="26">
        <f t="shared" ref="K953" ca="1" si="859">K954+K955</f>
        <v>1381374.9999999998</v>
      </c>
    </row>
    <row r="954" spans="1:11" outlineLevel="1">
      <c r="A954" s="47" t="str">
        <f ca="1">OFFSET(Язык!$A$461,0,LANGUAGE)</f>
        <v xml:space="preserve">    здания и сооружения</v>
      </c>
      <c r="C954" s="6">
        <f>CUR_Report</f>
        <v>0</v>
      </c>
      <c r="D954" s="2" t="s">
        <v>1736</v>
      </c>
      <c r="F954" s="26">
        <f t="shared" ref="F954:J954" si="860">F467/IF(CUR_I_Report=2,F$98,1)</f>
        <v>0</v>
      </c>
      <c r="G954" s="26">
        <f t="shared" ca="1" si="860"/>
        <v>0</v>
      </c>
      <c r="H954" s="26">
        <f t="shared" ca="1" si="860"/>
        <v>1365540.1785714284</v>
      </c>
      <c r="I954" s="26">
        <f t="shared" ca="1" si="860"/>
        <v>1293669.6428571427</v>
      </c>
      <c r="J954" s="26">
        <f t="shared" ca="1" si="860"/>
        <v>1221799.107142857</v>
      </c>
      <c r="K954" s="26">
        <f t="shared" ref="K954" ca="1" si="861">K467/IF(CUR_I_Report=2,K$98,1)</f>
        <v>1149928.5714285714</v>
      </c>
    </row>
    <row r="955" spans="1:11" outlineLevel="1">
      <c r="A955" s="47" t="str">
        <f ca="1">OFFSET(Язык!$A$462,0,LANGUAGE)</f>
        <v xml:space="preserve">    оборудование и прочие активы</v>
      </c>
      <c r="C955" s="6">
        <f>CUR_Report</f>
        <v>0</v>
      </c>
      <c r="D955" s="2" t="s">
        <v>1736</v>
      </c>
      <c r="F955" s="26">
        <f t="shared" ref="F955:J955" si="862">(F479+F528)/IF(CUR_I_Report=2,F$98,1)</f>
        <v>0</v>
      </c>
      <c r="G955" s="26">
        <f t="shared" ca="1" si="862"/>
        <v>0</v>
      </c>
      <c r="H955" s="26">
        <f t="shared" ca="1" si="862"/>
        <v>925785.71428571409</v>
      </c>
      <c r="I955" s="26">
        <f t="shared" ca="1" si="862"/>
        <v>694339.28571428556</v>
      </c>
      <c r="J955" s="26">
        <f t="shared" ca="1" si="862"/>
        <v>462892.85714285704</v>
      </c>
      <c r="K955" s="26">
        <f t="shared" ref="K955" ca="1" si="863">(K479+K528)/IF(CUR_I_Report=2,K$98,1)</f>
        <v>231446.42857142841</v>
      </c>
    </row>
    <row r="956" spans="1:11" outlineLevel="1">
      <c r="A956" s="47" t="str">
        <f ca="1">OFFSET(Язык!$A$463,0,LANGUAGE)</f>
        <v>Незавершенные капиталовложения</v>
      </c>
      <c r="C956" s="6">
        <f>CUR_Report</f>
        <v>0</v>
      </c>
      <c r="D956" s="2" t="s">
        <v>1736</v>
      </c>
      <c r="F956" s="26">
        <f t="shared" ref="F956:J956" ca="1" si="864">(F464+F476+F489)/IF(CUR_I_Report=2,F$98,1)</f>
        <v>0</v>
      </c>
      <c r="G956" s="26">
        <f t="shared" ca="1" si="864"/>
        <v>2594642.8571428568</v>
      </c>
      <c r="H956" s="26">
        <f t="shared" ca="1" si="864"/>
        <v>0</v>
      </c>
      <c r="I956" s="26">
        <f t="shared" ca="1" si="864"/>
        <v>0</v>
      </c>
      <c r="J956" s="26">
        <f t="shared" ca="1" si="864"/>
        <v>0</v>
      </c>
      <c r="K956" s="26">
        <f t="shared" ref="K956" ca="1" si="865">(K464+K476+K489)/IF(CUR_I_Report=2,K$98,1)</f>
        <v>0</v>
      </c>
    </row>
    <row r="957" spans="1:11" outlineLevel="1">
      <c r="A957" s="32" t="str">
        <f ca="1">OFFSET(Язык!$A$464,0,LANGUAGE)</f>
        <v>Суммарные внеоборотные активы</v>
      </c>
      <c r="C957" s="6">
        <f>CUR_Report</f>
        <v>0</v>
      </c>
      <c r="D957" s="2" t="s">
        <v>1736</v>
      </c>
      <c r="F957" s="62">
        <f t="shared" ref="F957:J957" ca="1" si="866">F953+F956</f>
        <v>0</v>
      </c>
      <c r="G957" s="62">
        <f t="shared" ca="1" si="866"/>
        <v>2594642.8571428568</v>
      </c>
      <c r="H957" s="62">
        <f t="shared" ca="1" si="866"/>
        <v>2291325.8928571427</v>
      </c>
      <c r="I957" s="62">
        <f t="shared" ca="1" si="866"/>
        <v>1988008.9285714282</v>
      </c>
      <c r="J957" s="62">
        <f t="shared" ca="1" si="866"/>
        <v>1684691.9642857141</v>
      </c>
      <c r="K957" s="62">
        <f t="shared" ref="K957" ca="1" si="867">K953+K956</f>
        <v>1381374.9999999998</v>
      </c>
    </row>
    <row r="958" spans="1:11" outlineLevel="1">
      <c r="F958" s="26"/>
      <c r="G958" s="26"/>
      <c r="H958" s="26"/>
      <c r="I958" s="26"/>
      <c r="J958" s="26"/>
      <c r="K958" s="26"/>
    </row>
    <row r="959" spans="1:11" outlineLevel="1">
      <c r="A959" s="32" t="str">
        <f ca="1">OFFSET(Язык!$A$465,0,LANGUAGE)</f>
        <v xml:space="preserve"> = ИТОГО АКТИВОВ</v>
      </c>
      <c r="B959" s="29" t="str">
        <f ca="1">IF(COUNTIF(F979:K979,1)&gt;0,"Не сходится!","")</f>
        <v/>
      </c>
      <c r="C959" s="6">
        <f>CUR_Report</f>
        <v>0</v>
      </c>
      <c r="D959" s="47" t="s">
        <v>1736</v>
      </c>
      <c r="E959" s="32"/>
      <c r="F959" s="62">
        <f t="shared" ref="F959:J959" ca="1" si="868">F951+F957</f>
        <v>0</v>
      </c>
      <c r="G959" s="62">
        <f t="shared" ca="1" si="868"/>
        <v>3469277.8660714282</v>
      </c>
      <c r="H959" s="62">
        <f t="shared" ca="1" si="868"/>
        <v>3364135.5470982143</v>
      </c>
      <c r="I959" s="62">
        <f t="shared" ca="1" si="868"/>
        <v>3103520.5977232149</v>
      </c>
      <c r="J959" s="62">
        <f t="shared" ca="1" si="868"/>
        <v>3111613.5862767878</v>
      </c>
      <c r="K959" s="62">
        <f t="shared" ref="K959" ca="1" si="869">K951+K957</f>
        <v>4332168.1510517895</v>
      </c>
    </row>
    <row r="960" spans="1:11" outlineLevel="1">
      <c r="F960" s="26"/>
      <c r="G960" s="26"/>
      <c r="H960" s="26"/>
      <c r="I960" s="26"/>
      <c r="J960" s="26"/>
      <c r="K960" s="26"/>
    </row>
    <row r="961" spans="1:11" outlineLevel="1">
      <c r="A961" s="47" t="str">
        <f ca="1">OFFSET(Язык!$A$466,0,LANGUAGE)</f>
        <v>Кредиторская задолженность</v>
      </c>
      <c r="C961" s="6">
        <f t="shared" ref="C961:C969" si="870">CUR_Report</f>
        <v>0</v>
      </c>
      <c r="D961" s="2" t="s">
        <v>1736</v>
      </c>
      <c r="F961" s="26">
        <f t="shared" ref="F961:J961" ca="1" si="871">SUM(F962:F963)</f>
        <v>0</v>
      </c>
      <c r="G961" s="26">
        <f t="shared" ca="1" si="871"/>
        <v>0</v>
      </c>
      <c r="H961" s="26">
        <f t="shared" ca="1" si="871"/>
        <v>0</v>
      </c>
      <c r="I961" s="26">
        <f t="shared" ca="1" si="871"/>
        <v>0</v>
      </c>
      <c r="J961" s="26">
        <f t="shared" ca="1" si="871"/>
        <v>0</v>
      </c>
      <c r="K961" s="26">
        <f t="shared" ref="K961" ca="1" si="872">SUM(K962:K963)</f>
        <v>0</v>
      </c>
    </row>
    <row r="962" spans="1:11" outlineLevel="1">
      <c r="A962" s="47" t="str">
        <f ca="1">OFFSET(Язык!$A$467,0,LANGUAGE)</f>
        <v xml:space="preserve">    за поставленные товары</v>
      </c>
      <c r="C962" s="6">
        <f t="shared" si="870"/>
        <v>0</v>
      </c>
      <c r="D962" s="2" t="s">
        <v>1736</v>
      </c>
      <c r="F962" s="26">
        <f t="shared" ref="F962:J962" ca="1" si="873">F563/IF(CUR_I_Report=2,F$98,1)</f>
        <v>0</v>
      </c>
      <c r="G962" s="26">
        <f t="shared" ca="1" si="873"/>
        <v>0</v>
      </c>
      <c r="H962" s="26">
        <f t="shared" ca="1" si="873"/>
        <v>0</v>
      </c>
      <c r="I962" s="26">
        <f t="shared" ca="1" si="873"/>
        <v>0</v>
      </c>
      <c r="J962" s="26">
        <f t="shared" ca="1" si="873"/>
        <v>0</v>
      </c>
      <c r="K962" s="26">
        <f t="shared" ref="K962" ca="1" si="874">K563/IF(CUR_I_Report=2,K$98,1)</f>
        <v>0</v>
      </c>
    </row>
    <row r="963" spans="1:11" outlineLevel="1">
      <c r="A963" s="47" t="str">
        <f ca="1">OFFSET(Язык!$A$468,0,LANGUAGE)</f>
        <v xml:space="preserve">    за постоянные активы</v>
      </c>
      <c r="C963" s="6">
        <f t="shared" si="870"/>
        <v>0</v>
      </c>
      <c r="D963" s="2" t="s">
        <v>1736</v>
      </c>
      <c r="F963" s="26">
        <f t="shared" ref="F963:J963" ca="1" si="875">(F397+F420+F441+MAX(-F524,0))/IF(CUR_I_Report=2,F$98,1)</f>
        <v>0</v>
      </c>
      <c r="G963" s="26">
        <f t="shared" ca="1" si="875"/>
        <v>0</v>
      </c>
      <c r="H963" s="26">
        <f t="shared" ca="1" si="875"/>
        <v>0</v>
      </c>
      <c r="I963" s="26">
        <f t="shared" ca="1" si="875"/>
        <v>0</v>
      </c>
      <c r="J963" s="26">
        <f t="shared" ca="1" si="875"/>
        <v>0</v>
      </c>
      <c r="K963" s="26">
        <f t="shared" ref="K963" ca="1" si="876">(K397+K420+K441+MAX(-K524,0))/IF(CUR_I_Report=2,K$98,1)</f>
        <v>0</v>
      </c>
    </row>
    <row r="964" spans="1:11" outlineLevel="1">
      <c r="A964" s="47" t="str">
        <f ca="1">OFFSET(Язык!$A$469,0,LANGUAGE)</f>
        <v>Расчеты с бюджетом</v>
      </c>
      <c r="C964" s="6">
        <f t="shared" si="870"/>
        <v>0</v>
      </c>
      <c r="D964" s="2" t="s">
        <v>1736</v>
      </c>
      <c r="F964" s="26">
        <f t="shared" ref="F964:J964" si="877">SUM(F571:F575)/IF(CUR_I_Report=2,F$98,1)</f>
        <v>0</v>
      </c>
      <c r="G964" s="26">
        <f t="shared" ca="1" si="877"/>
        <v>118575.13750000001</v>
      </c>
      <c r="H964" s="26">
        <f t="shared" ca="1" si="877"/>
        <v>196240.81781250011</v>
      </c>
      <c r="I964" s="26">
        <f t="shared" ca="1" si="877"/>
        <v>209981.59429464303</v>
      </c>
      <c r="J964" s="26">
        <f t="shared" ca="1" si="877"/>
        <v>269057.88093392883</v>
      </c>
      <c r="K964" s="26">
        <f t="shared" ref="K964" ca="1" si="878">SUM(K571:K575)/IF(CUR_I_Report=2,K$98,1)</f>
        <v>331247.16110321454</v>
      </c>
    </row>
    <row r="965" spans="1:11" outlineLevel="1">
      <c r="A965" s="47" t="str">
        <f ca="1">OFFSET(Язык!$A$470,0,LANGUAGE)</f>
        <v>Расчеты с персоналом</v>
      </c>
      <c r="C965" s="6">
        <f t="shared" si="870"/>
        <v>0</v>
      </c>
      <c r="D965" s="2" t="s">
        <v>1736</v>
      </c>
      <c r="F965" s="26">
        <f t="shared" ref="F965:J965" si="879">F578/IF(CUR_I_Report=2,F$98,1)</f>
        <v>0</v>
      </c>
      <c r="G965" s="26">
        <f t="shared" ca="1" si="879"/>
        <v>3287.5</v>
      </c>
      <c r="H965" s="26">
        <f t="shared" si="879"/>
        <v>1842.5</v>
      </c>
      <c r="I965" s="26">
        <f t="shared" ca="1" si="879"/>
        <v>15911.5</v>
      </c>
      <c r="J965" s="26">
        <f t="shared" ca="1" si="879"/>
        <v>17502.650000000001</v>
      </c>
      <c r="K965" s="26">
        <f t="shared" ref="K965" ca="1" si="880">K578/IF(CUR_I_Report=2,K$98,1)</f>
        <v>19252.915000000001</v>
      </c>
    </row>
    <row r="966" spans="1:11" outlineLevel="1">
      <c r="A966" s="47" t="str">
        <f ca="1">OFFSET(Язык!$A$471,0,LANGUAGE)</f>
        <v>Авансы покупателей</v>
      </c>
      <c r="C966" s="6">
        <f t="shared" si="870"/>
        <v>0</v>
      </c>
      <c r="D966" s="2" t="s">
        <v>1736</v>
      </c>
      <c r="F966" s="26">
        <f t="shared" ref="F966:J966" ca="1" si="881">F554/IF(CUR_I_Report=2,F$98,1)</f>
        <v>0</v>
      </c>
      <c r="G966" s="26">
        <f t="shared" ca="1" si="881"/>
        <v>0</v>
      </c>
      <c r="H966" s="26">
        <f t="shared" ca="1" si="881"/>
        <v>0</v>
      </c>
      <c r="I966" s="26">
        <f t="shared" ca="1" si="881"/>
        <v>0</v>
      </c>
      <c r="J966" s="26">
        <f t="shared" ca="1" si="881"/>
        <v>0</v>
      </c>
      <c r="K966" s="26">
        <f t="shared" ref="K966" ca="1" si="882">K554/IF(CUR_I_Report=2,K$98,1)</f>
        <v>0</v>
      </c>
    </row>
    <row r="967" spans="1:11" outlineLevel="1">
      <c r="A967" s="47" t="str">
        <f ca="1">OFFSET(Язык!$A$472,0,LANGUAGE)</f>
        <v>Краткосрочные кредиты</v>
      </c>
      <c r="C967" s="6">
        <f t="shared" si="870"/>
        <v>0</v>
      </c>
      <c r="D967" s="2" t="s">
        <v>1736</v>
      </c>
      <c r="F967" s="26">
        <f t="shared" ref="F967:J967" si="883">F636/IF(CUR_I_Report=2,F$98,1)</f>
        <v>0</v>
      </c>
      <c r="G967" s="26">
        <f t="shared" si="883"/>
        <v>0</v>
      </c>
      <c r="H967" s="26">
        <f t="shared" si="883"/>
        <v>0</v>
      </c>
      <c r="I967" s="26">
        <f t="shared" si="883"/>
        <v>0</v>
      </c>
      <c r="J967" s="26">
        <f t="shared" si="883"/>
        <v>0</v>
      </c>
      <c r="K967" s="26">
        <f t="shared" ref="K967" si="884">K636/IF(CUR_I_Report=2,K$98,1)</f>
        <v>0</v>
      </c>
    </row>
    <row r="968" spans="1:11" outlineLevel="1">
      <c r="A968" s="47" t="str">
        <f ca="1">OFFSET(Язык!$A$473,0,LANGUAGE)</f>
        <v>Прочие краткосрочные обязательства</v>
      </c>
      <c r="C968" s="6">
        <f t="shared" si="870"/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outlineLevel="1">
      <c r="A969" s="32" t="str">
        <f ca="1">OFFSET(Язык!$A$474,0,LANGUAGE)</f>
        <v>Суммарные краткосрочные обязательства</v>
      </c>
      <c r="C969" s="6">
        <f t="shared" si="870"/>
        <v>0</v>
      </c>
      <c r="D969" s="2" t="s">
        <v>1736</v>
      </c>
      <c r="F969" s="62">
        <f t="shared" ref="F969:J969" ca="1" si="885">F961+SUM(F964:F968)</f>
        <v>0</v>
      </c>
      <c r="G969" s="62">
        <f t="shared" ca="1" si="885"/>
        <v>121862.63750000001</v>
      </c>
      <c r="H969" s="62">
        <f t="shared" ca="1" si="885"/>
        <v>198083.31781250011</v>
      </c>
      <c r="I969" s="62">
        <f t="shared" ca="1" si="885"/>
        <v>225893.09429464303</v>
      </c>
      <c r="J969" s="62">
        <f t="shared" ca="1" si="885"/>
        <v>286560.53093392885</v>
      </c>
      <c r="K969" s="62">
        <f t="shared" ref="K969" ca="1" si="886">K961+SUM(K964:K968)</f>
        <v>350500.07610321452</v>
      </c>
    </row>
    <row r="970" spans="1:11" outlineLevel="1">
      <c r="F970" s="26"/>
      <c r="G970" s="26"/>
      <c r="H970" s="26"/>
      <c r="I970" s="26"/>
      <c r="J970" s="26"/>
      <c r="K970" s="26"/>
    </row>
    <row r="971" spans="1:11" outlineLevel="1">
      <c r="A971" s="32" t="str">
        <f ca="1">OFFSET(Язык!$A$475,0,LANGUAGE)</f>
        <v>Долгосрочные обязательства</v>
      </c>
      <c r="C971" s="6">
        <f>CUR_Report</f>
        <v>0</v>
      </c>
      <c r="D971" s="2" t="s">
        <v>1736</v>
      </c>
      <c r="F971" s="62">
        <f t="shared" ref="F971:J971" si="887">F637/IF(CUR_I_Report=2,F$98,1)</f>
        <v>0</v>
      </c>
      <c r="G971" s="62">
        <f t="shared" si="887"/>
        <v>2906000</v>
      </c>
      <c r="H971" s="62">
        <f t="shared" si="887"/>
        <v>1936000</v>
      </c>
      <c r="I971" s="62">
        <f t="shared" si="887"/>
        <v>966000</v>
      </c>
      <c r="J971" s="62">
        <f t="shared" si="887"/>
        <v>0</v>
      </c>
      <c r="K971" s="62">
        <f t="shared" ref="K971" si="888">K637/IF(CUR_I_Report=2,K$98,1)</f>
        <v>0</v>
      </c>
    </row>
    <row r="972" spans="1:11" outlineLevel="1">
      <c r="F972" s="26"/>
      <c r="G972" s="26"/>
      <c r="H972" s="26"/>
      <c r="I972" s="26"/>
      <c r="J972" s="26"/>
      <c r="K972" s="26"/>
    </row>
    <row r="973" spans="1:11" outlineLevel="1">
      <c r="A973" s="47" t="str">
        <f ca="1">OFFSET(Язык!$A$476,0,LANGUAGE)</f>
        <v>Акционерный капитал</v>
      </c>
      <c r="C973" s="6">
        <f>CUR_Report</f>
        <v>0</v>
      </c>
      <c r="D973" s="2" t="s">
        <v>1736</v>
      </c>
      <c r="F973" s="26">
        <f>(SUM($F596:F596)+SUM($F603:F603))/IF(CUR_I_Report=2,F$98,1)</f>
        <v>0</v>
      </c>
      <c r="G973" s="26">
        <f>(SUM($F596:G596)+SUM($F603:G603))/IF(CUR_I_Report=2,G$98,1)</f>
        <v>0</v>
      </c>
      <c r="H973" s="26">
        <f>(SUM($F596:H596)+SUM($F603:H603))/IF(CUR_I_Report=2,H$98,1)</f>
        <v>0</v>
      </c>
      <c r="I973" s="26">
        <f>(SUM($F596:I596)+SUM($F603:I603))/IF(CUR_I_Report=2,I$98,1)</f>
        <v>0</v>
      </c>
      <c r="J973" s="26">
        <f>(SUM($F596:J596)+SUM($F603:J603))/IF(CUR_I_Report=2,J$98,1)</f>
        <v>0</v>
      </c>
      <c r="K973" s="26">
        <f>(SUM($F596:K596)+SUM($F603:K603))/IF(CUR_I_Report=2,K$98,1)</f>
        <v>0</v>
      </c>
    </row>
    <row r="974" spans="1:11" outlineLevel="1">
      <c r="A974" s="47" t="str">
        <f ca="1">OFFSET(Язык!$A$477,0,LANGUAGE)</f>
        <v>Нераспределенная прибыль</v>
      </c>
      <c r="C974" s="6">
        <f>CUR_Report</f>
        <v>0</v>
      </c>
      <c r="D974" s="2" t="s">
        <v>1736</v>
      </c>
      <c r="F974" s="26">
        <f t="shared" ref="F974:J974" si="889">F772</f>
        <v>0</v>
      </c>
      <c r="G974" s="26">
        <f t="shared" ca="1" si="889"/>
        <v>441415.22857142857</v>
      </c>
      <c r="H974" s="26">
        <f t="shared" ca="1" si="889"/>
        <v>1230052.2292857147</v>
      </c>
      <c r="I974" s="26">
        <f t="shared" ca="1" si="889"/>
        <v>1911627.5034285726</v>
      </c>
      <c r="J974" s="26">
        <f t="shared" ca="1" si="889"/>
        <v>2825053.0553428596</v>
      </c>
      <c r="K974" s="26">
        <f t="shared" ref="K974" ca="1" si="890">K772</f>
        <v>3981668.0749485749</v>
      </c>
    </row>
    <row r="975" spans="1:11" outlineLevel="1">
      <c r="A975" s="47" t="str">
        <f ca="1">OFFSET(Язык!$A$478,0,LANGUAGE)</f>
        <v>Прочие источники финансирования</v>
      </c>
      <c r="C975" s="6">
        <f>CUR_Report</f>
        <v>0</v>
      </c>
      <c r="F975" s="26">
        <f>SUM($F878:F878)+IF($B458=1,$B456,)/IF(CUR_I_Report=2,F$98,1)</f>
        <v>0</v>
      </c>
      <c r="G975" s="26">
        <f>SUM($F878:G878)+IF($B458=1,$B456,)/IF(CUR_I_Report=2,G$98,1)</f>
        <v>0</v>
      </c>
      <c r="H975" s="26">
        <f>SUM($F878:H878)+IF($B458=1,$B456,)/IF(CUR_I_Report=2,H$98,1)</f>
        <v>0</v>
      </c>
      <c r="I975" s="26">
        <f>SUM($F878:I878)+IF($B458=1,$B456,)/IF(CUR_I_Report=2,I$98,1)</f>
        <v>0</v>
      </c>
      <c r="J975" s="26">
        <f>SUM($F878:J878)+IF($B458=1,$B456,)/IF(CUR_I_Report=2,J$98,1)</f>
        <v>0</v>
      </c>
      <c r="K975" s="26">
        <f>SUM($F878:K878)+IF($B458=1,$B456,)/IF(CUR_I_Report=2,K$98,1)</f>
        <v>0</v>
      </c>
    </row>
    <row r="976" spans="1:11" outlineLevel="1">
      <c r="A976" s="32" t="str">
        <f ca="1">OFFSET(Язык!$A$479,0,LANGUAGE)</f>
        <v>Суммарный собственный капитал</v>
      </c>
      <c r="C976" s="6">
        <f>CUR_Report</f>
        <v>0</v>
      </c>
      <c r="D976" s="2" t="s">
        <v>1736</v>
      </c>
      <c r="F976" s="62">
        <f t="shared" ref="F976:J976" si="891">SUM(F973:F975)</f>
        <v>0</v>
      </c>
      <c r="G976" s="62">
        <f t="shared" ca="1" si="891"/>
        <v>441415.22857142857</v>
      </c>
      <c r="H976" s="62">
        <f t="shared" ca="1" si="891"/>
        <v>1230052.2292857147</v>
      </c>
      <c r="I976" s="62">
        <f t="shared" ca="1" si="891"/>
        <v>1911627.5034285726</v>
      </c>
      <c r="J976" s="62">
        <f t="shared" ca="1" si="891"/>
        <v>2825053.0553428596</v>
      </c>
      <c r="K976" s="62">
        <f t="shared" ref="K976" ca="1" si="892">SUM(K973:K975)</f>
        <v>3981668.0749485749</v>
      </c>
    </row>
    <row r="977" spans="1:12" outlineLevel="1">
      <c r="A977" s="47"/>
      <c r="F977" s="26"/>
      <c r="G977" s="26"/>
      <c r="H977" s="26"/>
      <c r="I977" s="26"/>
      <c r="J977" s="26"/>
      <c r="K977" s="26"/>
    </row>
    <row r="978" spans="1:12" outlineLevel="1">
      <c r="A978" s="85" t="str">
        <f ca="1">OFFSET(Язык!$A$480,0,LANGUAGE)</f>
        <v xml:space="preserve"> = ИТОГО ПАССИВОВ</v>
      </c>
      <c r="B978" s="154" t="str">
        <f ca="1">IF(COUNTIF(F979:K979,1)&gt;0,"Не сходится!","")</f>
        <v/>
      </c>
      <c r="C978" s="41">
        <f>CUR_Report</f>
        <v>0</v>
      </c>
      <c r="D978" s="162" t="s">
        <v>1736</v>
      </c>
      <c r="E978" s="85"/>
      <c r="F978" s="87">
        <f t="shared" ref="F978:J978" ca="1" si="893">F969+F971+F976</f>
        <v>0</v>
      </c>
      <c r="G978" s="87">
        <f t="shared" ca="1" si="893"/>
        <v>3469277.8660714286</v>
      </c>
      <c r="H978" s="87">
        <f t="shared" ca="1" si="893"/>
        <v>3364135.5470982147</v>
      </c>
      <c r="I978" s="87">
        <f t="shared" ca="1" si="893"/>
        <v>3103520.5977232158</v>
      </c>
      <c r="J978" s="87">
        <f t="shared" ca="1" si="893"/>
        <v>3111613.5862767883</v>
      </c>
      <c r="K978" s="87">
        <f t="shared" ref="K978" ca="1" si="894">K969+K971+K976</f>
        <v>4332168.1510517895</v>
      </c>
      <c r="L978" s="43"/>
    </row>
    <row r="979" spans="1:12" outlineLevel="1">
      <c r="A979" s="47" t="str">
        <f ca="1">OFFSET(Язык!$A$481,0,LANGUAGE)</f>
        <v>Контроль сходимости баланса</v>
      </c>
      <c r="B979" s="63"/>
      <c r="F979" s="26">
        <f t="shared" ref="F979:J979" ca="1" si="895">IF(ABS(F978-F959)&gt;1,1,0)</f>
        <v>0</v>
      </c>
      <c r="G979" s="26">
        <f t="shared" ca="1" si="895"/>
        <v>0</v>
      </c>
      <c r="H979" s="26">
        <f t="shared" ca="1" si="895"/>
        <v>0</v>
      </c>
      <c r="I979" s="26">
        <f t="shared" ca="1" si="895"/>
        <v>0</v>
      </c>
      <c r="J979" s="26">
        <f t="shared" ca="1" si="895"/>
        <v>0</v>
      </c>
      <c r="K979" s="26">
        <f t="shared" ref="K979" ca="1" si="896">IF(ABS(K978-K959)&gt;1,1,0)</f>
        <v>0</v>
      </c>
    </row>
    <row r="980" spans="1:12" outlineLevel="1">
      <c r="A980" s="47"/>
      <c r="B980" s="63"/>
      <c r="G980" s="26"/>
      <c r="H980" s="26"/>
      <c r="I980" s="26"/>
      <c r="J980" s="26"/>
      <c r="K980" s="26"/>
    </row>
    <row r="981" spans="1:12" outlineLevel="1" collapsed="1">
      <c r="A981" s="37"/>
      <c r="B981" s="76"/>
    </row>
    <row r="982" spans="1:12" hidden="1" outlineLevel="2">
      <c r="B982" s="76"/>
    </row>
    <row r="983" spans="1:12" hidden="1" outlineLevel="2">
      <c r="B983" s="76"/>
    </row>
    <row r="984" spans="1:12" hidden="1" outlineLevel="2">
      <c r="B984" s="76"/>
    </row>
    <row r="985" spans="1:12" hidden="1" outlineLevel="2">
      <c r="B985" s="76"/>
    </row>
    <row r="986" spans="1:12" hidden="1" outlineLevel="2">
      <c r="B986" s="76"/>
    </row>
    <row r="987" spans="1:12" hidden="1" outlineLevel="2">
      <c r="B987" s="76"/>
    </row>
    <row r="988" spans="1:12" hidden="1" outlineLevel="2">
      <c r="B988" s="76"/>
    </row>
    <row r="989" spans="1:12" hidden="1" outlineLevel="2">
      <c r="B989" s="76"/>
    </row>
    <row r="990" spans="1:12" hidden="1" outlineLevel="2">
      <c r="B990" s="76"/>
    </row>
    <row r="991" spans="1:12" hidden="1" outlineLevel="2">
      <c r="B991" s="76"/>
    </row>
    <row r="992" spans="1:12" hidden="1" outlineLevel="2">
      <c r="B992" s="76"/>
    </row>
    <row r="993" spans="1:13" hidden="1" outlineLevel="2">
      <c r="B993" s="76"/>
    </row>
    <row r="994" spans="1:13" hidden="1" outlineLevel="2">
      <c r="B994" s="76"/>
    </row>
    <row r="995" spans="1:13" hidden="1" outlineLevel="2">
      <c r="B995" s="76"/>
    </row>
    <row r="996" spans="1:13" hidden="1" outlineLevel="2">
      <c r="B996" s="76"/>
    </row>
    <row r="997" spans="1:13" hidden="1" outlineLevel="2">
      <c r="B997" s="76"/>
    </row>
    <row r="998" spans="1:13" hidden="1" outlineLevel="2">
      <c r="B998" s="76"/>
    </row>
    <row r="999" spans="1:13" hidden="1" outlineLevel="2">
      <c r="B999" s="76"/>
    </row>
    <row r="1000" spans="1:13" hidden="1" outlineLevel="2">
      <c r="B1000" s="76"/>
    </row>
    <row r="1001" spans="1:13" hidden="1" outlineLevel="2">
      <c r="B1001" s="76"/>
    </row>
    <row r="1002" spans="1:13" hidden="1" outlineLevel="2">
      <c r="B1002" s="76"/>
    </row>
    <row r="1003" spans="1:13" hidden="1" outlineLevel="2">
      <c r="B1003" s="76"/>
    </row>
    <row r="1004" spans="1:13" hidden="1" outlineLevel="2">
      <c r="B1004" s="76"/>
    </row>
    <row r="1005" spans="1:13" hidden="1" outlineLevel="2">
      <c r="B1005" s="76"/>
    </row>
    <row r="1006" spans="1:13" ht="12" outlineLevel="1" thickBot="1">
      <c r="B1006" s="63"/>
      <c r="G1006" s="26"/>
      <c r="H1006" s="26"/>
      <c r="I1006" s="26"/>
      <c r="J1006" s="26"/>
      <c r="K1006" s="26"/>
    </row>
    <row r="1007" spans="1:13" ht="15.95" customHeight="1" thickTop="1" thickBot="1">
      <c r="A1007" s="18" t="str">
        <f ca="1">OFFSET(Язык!$A$483,0,LANGUAGE)</f>
        <v>ПОКАЗАТЕЛИ ФИНАНСОВОЙ СОСТОЯТЕЛЬНОСТИ</v>
      </c>
      <c r="B1007" s="23"/>
      <c r="C1007" s="19"/>
      <c r="D1007" s="18"/>
      <c r="E1007" s="18"/>
      <c r="F1007" s="19" t="str">
        <f t="shared" ref="F1007:K1007" si="897">PeriodTitle</f>
        <v>"0"</v>
      </c>
      <c r="G1007" s="19">
        <f t="shared" si="897"/>
        <v>2013</v>
      </c>
      <c r="H1007" s="19">
        <f t="shared" si="897"/>
        <v>2014</v>
      </c>
      <c r="I1007" s="19">
        <f t="shared" si="897"/>
        <v>2015</v>
      </c>
      <c r="J1007" s="19">
        <f t="shared" si="897"/>
        <v>2016</v>
      </c>
      <c r="K1007" s="19">
        <f t="shared" si="897"/>
        <v>2017</v>
      </c>
      <c r="L1007" s="19"/>
      <c r="M1007" s="92"/>
    </row>
    <row r="1008" spans="1:13" ht="12" outlineLevel="1" thickTop="1"/>
    <row r="1009" spans="1:11" outlineLevel="1">
      <c r="A1009" s="2" t="str">
        <f ca="1">OFFSET(Язык!$A$484,0,LANGUAGE)</f>
        <v>Рентабельность активов</v>
      </c>
      <c r="C1009" s="6" t="s">
        <v>385</v>
      </c>
      <c r="D1009" s="2" t="s">
        <v>1746</v>
      </c>
      <c r="G1009" s="93">
        <f t="shared" ref="G1009:K1009" ca="1" si="898">IF(G959&gt;0,G769/IF(G$27=1,G959,(F959+G959)/2)*360/PRJ_Step,"-")</f>
        <v>0.12723547827873535</v>
      </c>
      <c r="H1009" s="93">
        <f t="shared" ca="1" si="898"/>
        <v>0.23081788062006944</v>
      </c>
      <c r="I1009" s="93">
        <f t="shared" ca="1" si="898"/>
        <v>0.2107642270650355</v>
      </c>
      <c r="J1009" s="93">
        <f t="shared" ca="1" si="898"/>
        <v>0.29393590705274675</v>
      </c>
      <c r="K1009" s="93">
        <f t="shared" ca="1" si="898"/>
        <v>0.31076005729872486</v>
      </c>
    </row>
    <row r="1010" spans="1:11" outlineLevel="1">
      <c r="A1010" s="2" t="str">
        <f ca="1">OFFSET(Язык!$A$485,0,LANGUAGE)</f>
        <v>Рентабельность собственного капитала</v>
      </c>
      <c r="C1010" s="6" t="s">
        <v>385</v>
      </c>
      <c r="D1010" s="2" t="s">
        <v>1746</v>
      </c>
      <c r="G1010" s="93">
        <f t="shared" ref="G1010:K1010" ca="1" si="899">IF(G976&gt;0,G769/IF(G$27=1,G976,(F976+G976)/2)*360/PRJ_Step,"-")</f>
        <v>1</v>
      </c>
      <c r="H1010" s="93">
        <f t="shared" ca="1" si="899"/>
        <v>0.94364625168991978</v>
      </c>
      <c r="I1010" s="93">
        <f t="shared" ca="1" si="899"/>
        <v>0.43389226918684282</v>
      </c>
      <c r="J1010" s="93">
        <f t="shared" ca="1" si="899"/>
        <v>0.38568171975321253</v>
      </c>
      <c r="K1010" s="93">
        <f t="shared" ca="1" si="899"/>
        <v>0.33984498482199288</v>
      </c>
    </row>
    <row r="1011" spans="1:11" outlineLevel="1">
      <c r="A1011" s="2" t="str">
        <f ca="1">OFFSET(Язык!$A$486,0,LANGUAGE)</f>
        <v>Рентабельность постоянных активов</v>
      </c>
      <c r="C1011" s="6" t="s">
        <v>385</v>
      </c>
      <c r="D1011" s="2" t="s">
        <v>1746</v>
      </c>
      <c r="G1011" s="93">
        <f t="shared" ref="G1011:K1011" ca="1" si="900">IF(G957&gt;0,G769/IF(G$27=1,G957,(F957+G957)/2)*360/PRJ_Step,"-")</f>
        <v>0.17012562147281488</v>
      </c>
      <c r="H1011" s="93">
        <f t="shared" ca="1" si="900"/>
        <v>0.32281704655367927</v>
      </c>
      <c r="I1011" s="93">
        <f t="shared" ca="1" si="900"/>
        <v>0.3185426252369416</v>
      </c>
      <c r="J1011" s="93">
        <f t="shared" ca="1" si="900"/>
        <v>0.49741352675398304</v>
      </c>
      <c r="K1011" s="93">
        <f t="shared" ca="1" si="900"/>
        <v>0.75446168206907782</v>
      </c>
    </row>
    <row r="1012" spans="1:11" outlineLevel="1">
      <c r="A1012" s="2" t="str">
        <f ca="1">OFFSET(Язык!$A$487,0,LANGUAGE)</f>
        <v>Текущие затраты к выручке от реализации</v>
      </c>
      <c r="C1012" s="6" t="s">
        <v>385</v>
      </c>
      <c r="D1012" s="2" t="s">
        <v>1746</v>
      </c>
      <c r="G1012" s="93">
        <f t="shared" ref="G1012:J1012" ca="1" si="901">IF(G750&gt;0,G751/G750,"-")</f>
        <v>0.61961633952254636</v>
      </c>
      <c r="H1012" s="93">
        <f t="shared" ca="1" si="901"/>
        <v>0.64758428922290989</v>
      </c>
      <c r="I1012" s="93">
        <f t="shared" ca="1" si="901"/>
        <v>0.71842992438653863</v>
      </c>
      <c r="J1012" s="93">
        <f t="shared" ca="1" si="901"/>
        <v>0.71341503279427454</v>
      </c>
      <c r="K1012" s="93">
        <f t="shared" ref="K1012" ca="1" si="902">IF(K750&gt;0,K751/K750,"-")</f>
        <v>0.70885604043767092</v>
      </c>
    </row>
    <row r="1013" spans="1:11" outlineLevel="1">
      <c r="A1013" s="2" t="str">
        <f ca="1">OFFSET(Язык!$A$488,0,LANGUAGE)</f>
        <v>Прибыльность продаж</v>
      </c>
      <c r="C1013" s="6" t="s">
        <v>385</v>
      </c>
      <c r="D1013" s="2" t="s">
        <v>1746</v>
      </c>
      <c r="G1013" s="93">
        <f t="shared" ref="G1013:J1013" ca="1" si="903">IF(G750&gt;0,G769/G750,"-")</f>
        <v>0.19427647352392183</v>
      </c>
      <c r="H1013" s="93">
        <f t="shared" ca="1" si="903"/>
        <v>0.15777106892086207</v>
      </c>
      <c r="I1013" s="93">
        <f t="shared" ca="1" si="903"/>
        <v>0.12395708666765733</v>
      </c>
      <c r="J1013" s="93">
        <f t="shared" ca="1" si="903"/>
        <v>0.15102123058765762</v>
      </c>
      <c r="K1013" s="93">
        <f t="shared" ref="K1013" ca="1" si="904">IF(K750&gt;0,K769/K750,"-")</f>
        <v>0.17384451431303721</v>
      </c>
    </row>
    <row r="1014" spans="1:11" outlineLevel="1">
      <c r="G1014" s="6"/>
      <c r="H1014" s="6"/>
      <c r="I1014" s="6"/>
      <c r="J1014" s="6"/>
      <c r="K1014" s="6"/>
    </row>
    <row r="1015" spans="1:11" outlineLevel="1">
      <c r="A1015" s="2" t="str">
        <f ca="1">OFFSET(Язык!$A$489,0,LANGUAGE)</f>
        <v xml:space="preserve">Рентабельность по балансовой прибыли </v>
      </c>
      <c r="C1015" s="6" t="s">
        <v>385</v>
      </c>
      <c r="D1015" s="2" t="s">
        <v>1746</v>
      </c>
      <c r="G1015" s="70">
        <f t="shared" ref="G1015:J1015" ca="1" si="905">IF(G751&gt;0,G767/G751,"-")</f>
        <v>0.39192896703148622</v>
      </c>
      <c r="H1015" s="70">
        <f t="shared" ca="1" si="905"/>
        <v>0.30453770950455089</v>
      </c>
      <c r="I1015" s="70">
        <f t="shared" ca="1" si="905"/>
        <v>0.21567358635134673</v>
      </c>
      <c r="J1015" s="70">
        <f t="shared" ca="1" si="905"/>
        <v>0.26460970060468153</v>
      </c>
      <c r="K1015" s="70">
        <f t="shared" ref="K1015" ca="1" si="906">IF(K751&gt;0,K767/K751,"-")</f>
        <v>0.30655821562460678</v>
      </c>
    </row>
    <row r="1016" spans="1:11" outlineLevel="1">
      <c r="A1016" s="2" t="str">
        <f ca="1">OFFSET(Язык!$A$490,0,LANGUAGE)</f>
        <v xml:space="preserve">Рентабельность по чистой прибыли </v>
      </c>
      <c r="C1016" s="6" t="s">
        <v>385</v>
      </c>
      <c r="D1016" s="2" t="s">
        <v>1746</v>
      </c>
      <c r="G1016" s="70">
        <f t="shared" ref="G1016:J1016" ca="1" si="907">IF(G751&gt;0,G769/G751,"-")</f>
        <v>0.31354317362518896</v>
      </c>
      <c r="H1016" s="70">
        <f t="shared" ca="1" si="907"/>
        <v>0.2436301676036407</v>
      </c>
      <c r="I1016" s="70">
        <f t="shared" ca="1" si="907"/>
        <v>0.17253886908107738</v>
      </c>
      <c r="J1016" s="70">
        <f t="shared" ca="1" si="907"/>
        <v>0.21168776048374524</v>
      </c>
      <c r="K1016" s="70">
        <f t="shared" ref="K1016" ca="1" si="908">IF(K751&gt;0,K769/K751,"-")</f>
        <v>0.24524657249968543</v>
      </c>
    </row>
    <row r="1017" spans="1:11" outlineLevel="1">
      <c r="G1017" s="6"/>
      <c r="H1017" s="6"/>
      <c r="I1017" s="6"/>
      <c r="J1017" s="6"/>
      <c r="K1017" s="6"/>
    </row>
    <row r="1018" spans="1:11" outlineLevel="1">
      <c r="A1018" s="2" t="str">
        <f ca="1">OFFSET(Язык!$A$491,0,LANGUAGE)</f>
        <v>Оборачиваемость активов</v>
      </c>
      <c r="C1018" s="6" t="str">
        <f ca="1">OFFSET(Язык!$A$508,0,LANGUAGE)</f>
        <v>разы</v>
      </c>
      <c r="D1018" s="2" t="s">
        <v>1746</v>
      </c>
      <c r="G1018" s="94">
        <f t="shared" ref="G1018:K1018" ca="1" si="909">IF(AND(G959&gt;0,G750&gt;0),G750/IF(G$27=1,G959,(F959+G959)/2)*360/PRJ_Step,"-")</f>
        <v>0.65491964091611177</v>
      </c>
      <c r="H1018" s="94">
        <f t="shared" ca="1" si="909"/>
        <v>1.462992437072526</v>
      </c>
      <c r="I1018" s="94">
        <f t="shared" ca="1" si="909"/>
        <v>1.7002999403343326</v>
      </c>
      <c r="J1018" s="94">
        <f t="shared" ca="1" si="909"/>
        <v>1.9463217582652181</v>
      </c>
      <c r="K1018" s="94">
        <f t="shared" ca="1" si="909"/>
        <v>1.7875747102330044</v>
      </c>
    </row>
    <row r="1019" spans="1:11" outlineLevel="1">
      <c r="A1019" s="2" t="str">
        <f ca="1">OFFSET(Язык!$A$492,0,LANGUAGE)</f>
        <v>Оборачиваемость собственного капитала</v>
      </c>
      <c r="C1019" s="6" t="str">
        <f ca="1">OFFSET(Язык!$A$508,0,LANGUAGE)</f>
        <v>разы</v>
      </c>
      <c r="D1019" s="2" t="s">
        <v>1746</v>
      </c>
      <c r="G1019" s="94">
        <f t="shared" ref="G1019:K1019" ca="1" si="910">IF(AND(G976&gt;0,G750&gt;0),G750/IF(G$27=1,G976,(F976+G976)/2)*360/PRJ_Step,"-")</f>
        <v>5.1473036434175707</v>
      </c>
      <c r="H1019" s="94">
        <f t="shared" ca="1" si="910"/>
        <v>5.9811108471557128</v>
      </c>
      <c r="I1019" s="94">
        <f t="shared" ca="1" si="910"/>
        <v>3.5003425850928234</v>
      </c>
      <c r="J1019" s="94">
        <f t="shared" ca="1" si="910"/>
        <v>2.553824507007644</v>
      </c>
      <c r="K1019" s="94">
        <f t="shared" ca="1" si="910"/>
        <v>1.9548789685134558</v>
      </c>
    </row>
    <row r="1020" spans="1:11" outlineLevel="1">
      <c r="A1020" s="2" t="str">
        <f ca="1">OFFSET(Язык!$A$493,0,LANGUAGE)</f>
        <v>Оборачиваемость постоянных активов</v>
      </c>
      <c r="C1020" s="6" t="str">
        <f ca="1">OFFSET(Язык!$A$508,0,LANGUAGE)</f>
        <v>разы</v>
      </c>
      <c r="D1020" s="2" t="s">
        <v>1746</v>
      </c>
      <c r="G1020" s="94">
        <f t="shared" ref="G1020:K1020" ca="1" si="911">IF(AND(G957&gt;0,G750&gt;0),G750/IF(G$27=1,G957,(F957+G957)/2)*360/PRJ_Step,"-")</f>
        <v>0.87568823124569861</v>
      </c>
      <c r="H1020" s="94">
        <f t="shared" ca="1" si="911"/>
        <v>2.0461105370060224</v>
      </c>
      <c r="I1020" s="94">
        <f t="shared" ca="1" si="911"/>
        <v>2.5697814768024494</v>
      </c>
      <c r="J1020" s="94">
        <f t="shared" ca="1" si="911"/>
        <v>3.2936662270492363</v>
      </c>
      <c r="K1020" s="94">
        <f t="shared" ca="1" si="911"/>
        <v>4.3398647639265659</v>
      </c>
    </row>
    <row r="1021" spans="1:11" outlineLevel="1">
      <c r="G1021" s="6"/>
      <c r="H1021" s="6"/>
      <c r="I1021" s="6"/>
      <c r="J1021" s="6"/>
      <c r="K1021" s="6"/>
    </row>
    <row r="1022" spans="1:11" outlineLevel="1">
      <c r="A1022" s="2" t="str">
        <f ca="1">OFFSET(Язык!$A$494,0,LANGUAGE)</f>
        <v>Период сбора дебиторской задолженности</v>
      </c>
      <c r="C1022" s="6" t="str">
        <f ca="1">OFFSET(Язык!$A$23,0,LANGUAGE)</f>
        <v>дн.</v>
      </c>
      <c r="D1022" s="2" t="s">
        <v>1746</v>
      </c>
      <c r="G1022" s="96" t="str">
        <f t="shared" ref="G1022:K1022" ca="1" si="912">IF(AND(G943&gt;0,G750&gt;0),IF(G$27=1,G943,(F943+G943)/2)/G750*PRJ_Step,"-")</f>
        <v>-</v>
      </c>
      <c r="H1022" s="96" t="str">
        <f t="shared" ca="1" si="912"/>
        <v>-</v>
      </c>
      <c r="I1022" s="96" t="str">
        <f t="shared" ca="1" si="912"/>
        <v>-</v>
      </c>
      <c r="J1022" s="96" t="str">
        <f t="shared" ca="1" si="912"/>
        <v>-</v>
      </c>
      <c r="K1022" s="96" t="str">
        <f t="shared" ca="1" si="912"/>
        <v>-</v>
      </c>
    </row>
    <row r="1023" spans="1:11" outlineLevel="1">
      <c r="A1023" s="2" t="str">
        <f ca="1">OFFSET(Язык!$A$495,0,LANGUAGE)</f>
        <v>Период сбора кредиторской задолженности</v>
      </c>
      <c r="C1023" s="6" t="str">
        <f ca="1">OFFSET(Язык!$A$23,0,LANGUAGE)</f>
        <v>дн.</v>
      </c>
      <c r="D1023" s="2" t="s">
        <v>1746</v>
      </c>
      <c r="G1023" s="96" t="str">
        <f t="shared" ref="G1023:K1023" ca="1" si="913">IF(AND(G961&gt;0,G751&gt;0),IF(G$27=1,G961,(F961+G961)/2)/G751*PRJ_Step,"-")</f>
        <v>-</v>
      </c>
      <c r="H1023" s="96" t="str">
        <f t="shared" ca="1" si="913"/>
        <v>-</v>
      </c>
      <c r="I1023" s="96" t="str">
        <f t="shared" ca="1" si="913"/>
        <v>-</v>
      </c>
      <c r="J1023" s="96" t="str">
        <f t="shared" ca="1" si="913"/>
        <v>-</v>
      </c>
      <c r="K1023" s="96" t="str">
        <f t="shared" ca="1" si="913"/>
        <v>-</v>
      </c>
    </row>
    <row r="1024" spans="1:11" outlineLevel="1">
      <c r="G1024" s="6"/>
      <c r="H1024" s="6"/>
      <c r="I1024" s="6"/>
      <c r="J1024" s="6"/>
      <c r="K1024" s="6"/>
    </row>
    <row r="1025" spans="1:12" outlineLevel="1">
      <c r="A1025" s="2" t="str">
        <f ca="1">OFFSET(Язык!$A$496,0,LANGUAGE)</f>
        <v>Коэффициент общей ликвидности</v>
      </c>
      <c r="C1025" s="6" t="str">
        <f ca="1">OFFSET(Язык!$A$508,0,LANGUAGE)</f>
        <v>разы</v>
      </c>
      <c r="D1025" s="2" t="s">
        <v>1746</v>
      </c>
      <c r="G1025" s="94">
        <f t="shared" ref="G1025:J1025" ca="1" si="914">IF(G969&gt;0,G951/G969,"-")</f>
        <v>7.1772204087456348</v>
      </c>
      <c r="H1025" s="94">
        <f t="shared" ca="1" si="914"/>
        <v>5.4159515606284518</v>
      </c>
      <c r="I1025" s="94">
        <f t="shared" ca="1" si="914"/>
        <v>4.9382282917279987</v>
      </c>
      <c r="J1025" s="94">
        <f t="shared" ca="1" si="914"/>
        <v>4.979477171334783</v>
      </c>
      <c r="K1025" s="94">
        <f t="shared" ref="K1025" ca="1" si="915">IF(K969&gt;0,K951/K969,"-")</f>
        <v>8.4188088740467091</v>
      </c>
    </row>
    <row r="1026" spans="1:12" outlineLevel="1">
      <c r="A1026" s="2" t="str">
        <f ca="1">OFFSET(Язык!$A$497,0,LANGUAGE)</f>
        <v>Коэффициент срочной ликвидности</v>
      </c>
      <c r="C1026" s="6" t="str">
        <f ca="1">OFFSET(Язык!$A$508,0,LANGUAGE)</f>
        <v>разы</v>
      </c>
      <c r="D1026" s="2" t="s">
        <v>1746</v>
      </c>
      <c r="G1026" s="94">
        <f t="shared" ref="G1026:J1026" ca="1" si="916">IF(G969&gt;0,(G942+G943+G945)/G969,"-")</f>
        <v>4.6222359668805657</v>
      </c>
      <c r="H1026" s="94">
        <f t="shared" ca="1" si="916"/>
        <v>5.4159515606284518</v>
      </c>
      <c r="I1026" s="94">
        <f t="shared" ca="1" si="916"/>
        <v>4.9382282917279987</v>
      </c>
      <c r="J1026" s="94">
        <f t="shared" ca="1" si="916"/>
        <v>4.979477171334783</v>
      </c>
      <c r="K1026" s="94">
        <f t="shared" ref="K1026" ca="1" si="917">IF(K969&gt;0,(K942+K943+K945)/K969,"-")</f>
        <v>8.4188088740467091</v>
      </c>
    </row>
    <row r="1027" spans="1:12" outlineLevel="1">
      <c r="A1027" s="2" t="str">
        <f ca="1">OFFSET(Язык!$A$498,0,LANGUAGE)</f>
        <v>Коэффициент абсолютной ликвидности</v>
      </c>
      <c r="C1027" s="6" t="str">
        <f ca="1">OFFSET(Язык!$A$508,0,LANGUAGE)</f>
        <v>разы</v>
      </c>
      <c r="D1027" s="2" t="s">
        <v>1746</v>
      </c>
      <c r="G1027" s="94">
        <f t="shared" ref="G1027:J1027" ca="1" si="918">IF(G969&gt;0,G942/G969,"-")</f>
        <v>4.6222359668805657</v>
      </c>
      <c r="H1027" s="94">
        <f t="shared" ca="1" si="918"/>
        <v>5.4159515606284518</v>
      </c>
      <c r="I1027" s="94">
        <f t="shared" ca="1" si="918"/>
        <v>4.9382282917279987</v>
      </c>
      <c r="J1027" s="94">
        <f t="shared" ca="1" si="918"/>
        <v>4.979477171334783</v>
      </c>
      <c r="K1027" s="94">
        <f t="shared" ref="K1027" ca="1" si="919">IF(K969&gt;0,K942/K969,"-")</f>
        <v>8.4188088740467091</v>
      </c>
    </row>
    <row r="1028" spans="1:12" outlineLevel="1">
      <c r="A1028" s="2" t="str">
        <f ca="1">OFFSET(Язык!$A$499,0,LANGUAGE)</f>
        <v>Чистый оборотный капитал</v>
      </c>
      <c r="C1028" s="6">
        <f>CUR_Report</f>
        <v>0</v>
      </c>
      <c r="D1028" s="2" t="s">
        <v>1746</v>
      </c>
      <c r="G1028" s="95">
        <f t="shared" ref="G1028:J1028" ca="1" si="920">G951-G969</f>
        <v>752772.37142857118</v>
      </c>
      <c r="H1028" s="95">
        <f t="shared" ca="1" si="920"/>
        <v>874726.33642857149</v>
      </c>
      <c r="I1028" s="95">
        <f t="shared" ca="1" si="920"/>
        <v>889618.57485714369</v>
      </c>
      <c r="J1028" s="95">
        <f t="shared" ca="1" si="920"/>
        <v>1140361.0910571448</v>
      </c>
      <c r="K1028" s="95">
        <f t="shared" ref="K1028" ca="1" si="921">K951-K969</f>
        <v>2600293.0749485749</v>
      </c>
    </row>
    <row r="1029" spans="1:12" outlineLevel="1">
      <c r="G1029" s="6"/>
      <c r="H1029" s="6"/>
      <c r="I1029" s="6"/>
      <c r="J1029" s="6"/>
      <c r="K1029" s="6"/>
    </row>
    <row r="1030" spans="1:12" outlineLevel="1">
      <c r="A1030" s="2" t="str">
        <f ca="1">OFFSET(Язык!$A$500,0,LANGUAGE)</f>
        <v>Коэффициент общей платежеспособности</v>
      </c>
      <c r="C1030" s="6" t="str">
        <f ca="1">OFFSET(Язык!$A$508,0,LANGUAGE)</f>
        <v>разы</v>
      </c>
      <c r="D1030" s="2" t="s">
        <v>1746</v>
      </c>
      <c r="G1030" s="94">
        <f t="shared" ref="G1030:J1030" ca="1" si="922">IF(G978&gt;0,G976/G978,"-")</f>
        <v>0.12723547827873535</v>
      </c>
      <c r="H1030" s="94">
        <f t="shared" ca="1" si="922"/>
        <v>0.36563694062408231</v>
      </c>
      <c r="I1030" s="94">
        <f t="shared" ca="1" si="922"/>
        <v>0.61595450819013997</v>
      </c>
      <c r="J1030" s="94">
        <f t="shared" ca="1" si="922"/>
        <v>0.90790613198317671</v>
      </c>
      <c r="K1030" s="94">
        <f t="shared" ref="K1030" ca="1" si="923">IF(K978&gt;0,K976/K978,"-")</f>
        <v>0.91909361227861897</v>
      </c>
    </row>
    <row r="1031" spans="1:12" outlineLevel="1">
      <c r="A1031" s="2" t="str">
        <f ca="1">OFFSET(Язык!$A$501,0,LANGUAGE)</f>
        <v>Коэффициент автономии</v>
      </c>
      <c r="C1031" s="6" t="str">
        <f ca="1">OFFSET(Язык!$A$508,0,LANGUAGE)</f>
        <v>разы</v>
      </c>
      <c r="D1031" s="2" t="s">
        <v>1746</v>
      </c>
      <c r="G1031" s="94">
        <f t="shared" ref="G1031:J1031" ca="1" si="924">IF((G969+G971)&gt;0,G976/(G969+G971),"-")</f>
        <v>0.14578442994887297</v>
      </c>
      <c r="H1031" s="94">
        <f t="shared" ca="1" si="924"/>
        <v>0.57638435154750911</v>
      </c>
      <c r="I1031" s="94">
        <f t="shared" ca="1" si="924"/>
        <v>1.6038581921307842</v>
      </c>
      <c r="J1031" s="94">
        <f t="shared" ca="1" si="924"/>
        <v>9.8584862546692484</v>
      </c>
      <c r="K1031" s="94">
        <f t="shared" ref="K1031" ca="1" si="925">IF((K969+K971)&gt;0,K976/(K969+K971),"-")</f>
        <v>11.359963510467432</v>
      </c>
    </row>
    <row r="1032" spans="1:12" outlineLevel="1">
      <c r="A1032" s="2" t="str">
        <f ca="1">OFFSET(Язык!$A$502,0,LANGUAGE)</f>
        <v>Доля долгосрочных кредитов в валюте баланса</v>
      </c>
      <c r="C1032" s="6" t="s">
        <v>385</v>
      </c>
      <c r="D1032" s="2" t="s">
        <v>1746</v>
      </c>
      <c r="G1032" s="70">
        <f t="shared" ref="G1032:J1032" ca="1" si="926">IF(G978&gt;0,G971/G978,"-")</f>
        <v>0.83763829597504158</v>
      </c>
      <c r="H1032" s="70">
        <f t="shared" ca="1" si="926"/>
        <v>0.5754821626227058</v>
      </c>
      <c r="I1032" s="70">
        <f t="shared" ca="1" si="926"/>
        <v>0.31125941316731409</v>
      </c>
      <c r="J1032" s="70">
        <f t="shared" ca="1" si="926"/>
        <v>0</v>
      </c>
      <c r="K1032" s="70">
        <f t="shared" ref="K1032" ca="1" si="927">IF(K978&gt;0,K971/K978,"-")</f>
        <v>0</v>
      </c>
    </row>
    <row r="1033" spans="1:12" outlineLevel="1">
      <c r="A1033" s="2" t="str">
        <f ca="1">OFFSET(Язык!$A$503,0,LANGUAGE)</f>
        <v>Общий коэффициент покрытия долга</v>
      </c>
      <c r="C1033" s="6" t="str">
        <f ca="1">OFFSET(Язык!$A$508,0,LANGUAGE)</f>
        <v>разы</v>
      </c>
      <c r="D1033" s="2" t="s">
        <v>1746</v>
      </c>
      <c r="G1033" s="94" t="str">
        <f t="shared" ref="G1033:J1033" si="928">IF((-G880-G863)&gt;0,(G886-G880-G863)/(-G880-G863),"-")</f>
        <v>-</v>
      </c>
      <c r="H1033" s="94">
        <f t="shared" ca="1" si="928"/>
        <v>1.3453698451629001</v>
      </c>
      <c r="I1033" s="94">
        <f t="shared" ca="1" si="928"/>
        <v>1.0220888986653163</v>
      </c>
      <c r="J1033" s="94">
        <f t="shared" ca="1" si="928"/>
        <v>1.2749232655162042</v>
      </c>
      <c r="K1033" s="94" t="str">
        <f t="shared" ref="K1033" si="929">IF((-K880-K863)&gt;0,(K886-K880-K863)/(-K880-K863),"-")</f>
        <v>-</v>
      </c>
    </row>
    <row r="1034" spans="1:12" outlineLevel="1">
      <c r="A1034" s="43" t="str">
        <f ca="1">OFFSET(Язык!$A$504,0,LANGUAGE)</f>
        <v>Покрытие процентов по кредитам</v>
      </c>
      <c r="B1034" s="41"/>
      <c r="C1034" s="41" t="str">
        <f ca="1">OFFSET(Язык!$A$508,0,LANGUAGE)</f>
        <v>разы</v>
      </c>
      <c r="D1034" s="43" t="s">
        <v>1746</v>
      </c>
      <c r="E1034" s="43"/>
      <c r="F1034" s="43"/>
      <c r="G1034" s="163" t="str">
        <f t="shared" ref="G1034:J1034" ca="1" si="930">IF(G763&gt;0,(G767+G763)/G763,"-")</f>
        <v>-</v>
      </c>
      <c r="H1034" s="163">
        <f t="shared" ca="1" si="930"/>
        <v>3.4230563634177007</v>
      </c>
      <c r="I1034" s="163">
        <f t="shared" ca="1" si="930"/>
        <v>4.1433334293040591</v>
      </c>
      <c r="J1034" s="163">
        <f t="shared" ca="1" si="930"/>
        <v>9.4426348705476073</v>
      </c>
      <c r="K1034" s="163" t="str">
        <f t="shared" ref="K1034" ca="1" si="931">IF(K763&gt;0,(K767+K763)/K763,"-")</f>
        <v>-</v>
      </c>
      <c r="L1034" s="43"/>
    </row>
    <row r="1035" spans="1:12" outlineLevel="1"/>
    <row r="1036" spans="1:12" outlineLevel="1" collapsed="1">
      <c r="A1036" s="37"/>
      <c r="B1036" s="76"/>
    </row>
    <row r="1037" spans="1:12" hidden="1" outlineLevel="2">
      <c r="B1037" s="76"/>
    </row>
    <row r="1038" spans="1:12" hidden="1" outlineLevel="2">
      <c r="B1038" s="76"/>
    </row>
    <row r="1039" spans="1:12" hidden="1" outlineLevel="2">
      <c r="B1039" s="76"/>
    </row>
    <row r="1040" spans="1:12" hidden="1" outlineLevel="2">
      <c r="B1040" s="76"/>
    </row>
    <row r="1041" spans="2:2" hidden="1" outlineLevel="2">
      <c r="B1041" s="76"/>
    </row>
    <row r="1042" spans="2:2" hidden="1" outlineLevel="2">
      <c r="B1042" s="76"/>
    </row>
    <row r="1043" spans="2:2" hidden="1" outlineLevel="2">
      <c r="B1043" s="76"/>
    </row>
    <row r="1044" spans="2:2" hidden="1" outlineLevel="2">
      <c r="B1044" s="76"/>
    </row>
    <row r="1045" spans="2:2" hidden="1" outlineLevel="2">
      <c r="B1045" s="76"/>
    </row>
    <row r="1046" spans="2:2" hidden="1" outlineLevel="2">
      <c r="B1046" s="76"/>
    </row>
    <row r="1047" spans="2:2" hidden="1" outlineLevel="2">
      <c r="B1047" s="76"/>
    </row>
    <row r="1048" spans="2:2" hidden="1" outlineLevel="2">
      <c r="B1048" s="76"/>
    </row>
    <row r="1049" spans="2:2" hidden="1" outlineLevel="2">
      <c r="B1049" s="76"/>
    </row>
    <row r="1050" spans="2:2" hidden="1" outlineLevel="2">
      <c r="B1050" s="76"/>
    </row>
    <row r="1051" spans="2:2" hidden="1" outlineLevel="2">
      <c r="B1051" s="76"/>
    </row>
    <row r="1052" spans="2:2" hidden="1" outlineLevel="2">
      <c r="B1052" s="76"/>
    </row>
    <row r="1053" spans="2:2" hidden="1" outlineLevel="2">
      <c r="B1053" s="76"/>
    </row>
    <row r="1054" spans="2:2" hidden="1" outlineLevel="2">
      <c r="B1054" s="76"/>
    </row>
    <row r="1055" spans="2:2" hidden="1" outlineLevel="2">
      <c r="B1055" s="76"/>
    </row>
    <row r="1056" spans="2:2" hidden="1" outlineLevel="2">
      <c r="B1056" s="76"/>
    </row>
    <row r="1057" spans="1:2" hidden="1" outlineLevel="2">
      <c r="B1057" s="76"/>
    </row>
    <row r="1058" spans="1:2" hidden="1" outlineLevel="2">
      <c r="B1058" s="76"/>
    </row>
    <row r="1059" spans="1:2" hidden="1" outlineLevel="2">
      <c r="B1059" s="76"/>
    </row>
    <row r="1060" spans="1:2" outlineLevel="1"/>
    <row r="1061" spans="1:2" outlineLevel="1" collapsed="1">
      <c r="A1061" s="37"/>
      <c r="B1061" s="76"/>
    </row>
    <row r="1062" spans="1:2" hidden="1" outlineLevel="2">
      <c r="B1062" s="76"/>
    </row>
    <row r="1063" spans="1:2" hidden="1" outlineLevel="2">
      <c r="B1063" s="76"/>
    </row>
    <row r="1064" spans="1:2" hidden="1" outlineLevel="2">
      <c r="B1064" s="76"/>
    </row>
    <row r="1065" spans="1:2" hidden="1" outlineLevel="2">
      <c r="B1065" s="76"/>
    </row>
    <row r="1066" spans="1:2" hidden="1" outlineLevel="2">
      <c r="B1066" s="76"/>
    </row>
    <row r="1067" spans="1:2" hidden="1" outlineLevel="2">
      <c r="B1067" s="76"/>
    </row>
    <row r="1068" spans="1:2" hidden="1" outlineLevel="2">
      <c r="B1068" s="76"/>
    </row>
    <row r="1069" spans="1:2" hidden="1" outlineLevel="2">
      <c r="B1069" s="76"/>
    </row>
    <row r="1070" spans="1:2" hidden="1" outlineLevel="2">
      <c r="B1070" s="76"/>
    </row>
    <row r="1071" spans="1:2" hidden="1" outlineLevel="2">
      <c r="B1071" s="76"/>
    </row>
    <row r="1072" spans="1:2" hidden="1" outlineLevel="2">
      <c r="B1072" s="76"/>
    </row>
    <row r="1073" spans="1:2" hidden="1" outlineLevel="2">
      <c r="B1073" s="76"/>
    </row>
    <row r="1074" spans="1:2" hidden="1" outlineLevel="2">
      <c r="B1074" s="76"/>
    </row>
    <row r="1075" spans="1:2" hidden="1" outlineLevel="2">
      <c r="B1075" s="76"/>
    </row>
    <row r="1076" spans="1:2" hidden="1" outlineLevel="2">
      <c r="B1076" s="76"/>
    </row>
    <row r="1077" spans="1:2" hidden="1" outlineLevel="2">
      <c r="B1077" s="76"/>
    </row>
    <row r="1078" spans="1:2" hidden="1" outlineLevel="2">
      <c r="B1078" s="76"/>
    </row>
    <row r="1079" spans="1:2" hidden="1" outlineLevel="2">
      <c r="B1079" s="76"/>
    </row>
    <row r="1080" spans="1:2" hidden="1" outlineLevel="2">
      <c r="B1080" s="76"/>
    </row>
    <row r="1081" spans="1:2" hidden="1" outlineLevel="2">
      <c r="B1081" s="76"/>
    </row>
    <row r="1082" spans="1:2" hidden="1" outlineLevel="2">
      <c r="B1082" s="76"/>
    </row>
    <row r="1083" spans="1:2" hidden="1" outlineLevel="2">
      <c r="B1083" s="76"/>
    </row>
    <row r="1084" spans="1:2" hidden="1" outlineLevel="2">
      <c r="B1084" s="76"/>
    </row>
    <row r="1085" spans="1:2" outlineLevel="1"/>
    <row r="1086" spans="1:2" outlineLevel="1" collapsed="1">
      <c r="A1086" s="37"/>
      <c r="B1086" s="76"/>
    </row>
    <row r="1087" spans="1:2" hidden="1" outlineLevel="2">
      <c r="B1087" s="76"/>
    </row>
    <row r="1088" spans="1:2" hidden="1" outlineLevel="2">
      <c r="B1088" s="76"/>
    </row>
    <row r="1089" spans="2:2" hidden="1" outlineLevel="2">
      <c r="B1089" s="76"/>
    </row>
    <row r="1090" spans="2:2" hidden="1" outlineLevel="2">
      <c r="B1090" s="76"/>
    </row>
    <row r="1091" spans="2:2" hidden="1" outlineLevel="2">
      <c r="B1091" s="76"/>
    </row>
    <row r="1092" spans="2:2" hidden="1" outlineLevel="2">
      <c r="B1092" s="76"/>
    </row>
    <row r="1093" spans="2:2" hidden="1" outlineLevel="2">
      <c r="B1093" s="76"/>
    </row>
    <row r="1094" spans="2:2" hidden="1" outlineLevel="2">
      <c r="B1094" s="76"/>
    </row>
    <row r="1095" spans="2:2" hidden="1" outlineLevel="2">
      <c r="B1095" s="76"/>
    </row>
    <row r="1096" spans="2:2" hidden="1" outlineLevel="2">
      <c r="B1096" s="76"/>
    </row>
    <row r="1097" spans="2:2" hidden="1" outlineLevel="2">
      <c r="B1097" s="76"/>
    </row>
    <row r="1098" spans="2:2" hidden="1" outlineLevel="2">
      <c r="B1098" s="76"/>
    </row>
    <row r="1099" spans="2:2" hidden="1" outlineLevel="2">
      <c r="B1099" s="76"/>
    </row>
    <row r="1100" spans="2:2" hidden="1" outlineLevel="2">
      <c r="B1100" s="76"/>
    </row>
    <row r="1101" spans="2:2" hidden="1" outlineLevel="2">
      <c r="B1101" s="76"/>
    </row>
    <row r="1102" spans="2:2" hidden="1" outlineLevel="2">
      <c r="B1102" s="76"/>
    </row>
    <row r="1103" spans="2:2" hidden="1" outlineLevel="2">
      <c r="B1103" s="76"/>
    </row>
    <row r="1104" spans="2:2" hidden="1" outlineLevel="2">
      <c r="B1104" s="76"/>
    </row>
    <row r="1105" spans="1:13" hidden="1" outlineLevel="2">
      <c r="B1105" s="76"/>
    </row>
    <row r="1106" spans="1:13" hidden="1" outlineLevel="2">
      <c r="B1106" s="76"/>
    </row>
    <row r="1107" spans="1:13" hidden="1" outlineLevel="2">
      <c r="B1107" s="76"/>
    </row>
    <row r="1108" spans="1:13" hidden="1" outlineLevel="2">
      <c r="B1108" s="76"/>
    </row>
    <row r="1109" spans="1:13" hidden="1" outlineLevel="2">
      <c r="B1109" s="76"/>
    </row>
    <row r="1110" spans="1:13" outlineLevel="1"/>
    <row r="1111" spans="1:13" ht="12" outlineLevel="1" thickBot="1"/>
    <row r="1112" spans="1:13" ht="15.95" customHeight="1" thickTop="1" thickBot="1">
      <c r="A1112" s="18" t="str">
        <f ca="1">OFFSET(Язык!$A$509,0,LANGUAGE)</f>
        <v>ЭФФЕКТИВНОСТЬ ИНВЕСТИЦИЙ</v>
      </c>
      <c r="B1112" s="23"/>
      <c r="C1112" s="19"/>
      <c r="D1112" s="18"/>
      <c r="E1112" s="18"/>
      <c r="F1112" s="19" t="str">
        <f t="shared" ref="F1112:K1112" si="932">PeriodTitle</f>
        <v>"0"</v>
      </c>
      <c r="G1112" s="19">
        <f t="shared" si="932"/>
        <v>2013</v>
      </c>
      <c r="H1112" s="19">
        <f t="shared" si="932"/>
        <v>2014</v>
      </c>
      <c r="I1112" s="19">
        <f t="shared" si="932"/>
        <v>2015</v>
      </c>
      <c r="J1112" s="19">
        <f t="shared" si="932"/>
        <v>2016</v>
      </c>
      <c r="K1112" s="19">
        <f t="shared" si="932"/>
        <v>2017</v>
      </c>
      <c r="L1112" s="19"/>
      <c r="M1112" s="23" t="str">
        <f ca="1">OFFSET(Язык!$A$77,0,LANGUAGE)</f>
        <v>ИТОГО</v>
      </c>
    </row>
    <row r="1113" spans="1:13" ht="12" outlineLevel="1" thickTop="1"/>
    <row r="1114" spans="1:13" outlineLevel="1">
      <c r="A1114" s="32" t="str">
        <f ca="1">OFFSET(Язык!$A$510,0,LANGUAGE)</f>
        <v>Расчет эффективности инвестиций выполнен для:</v>
      </c>
      <c r="B1114" s="7">
        <v>1</v>
      </c>
      <c r="C1114" s="91" t="str">
        <f ca="1">OFFSET(Язык!$A$540,B1114-1,LANGUAGE)</f>
        <v>полных инвестиционных затрат</v>
      </c>
    </row>
    <row r="1115" spans="1:13" outlineLevel="1">
      <c r="A1115" s="47" t="str">
        <f ca="1">OFFSET(Язык!$A$849,0,LANGUAGE)</f>
        <v>Учитывать стоимость существующих основных фондов</v>
      </c>
      <c r="B1115" s="218">
        <v>0</v>
      </c>
      <c r="C1115" s="91" t="str">
        <f ca="1">OFFSET(Язык!$A$671,B1115,LANGUAGE)</f>
        <v>нет</v>
      </c>
    </row>
    <row r="1116" spans="1:13" outlineLevel="1">
      <c r="A1116" s="47" t="str">
        <f ca="1">OFFSET(Язык!$A$850,0,LANGUAGE)</f>
        <v>Учитывать остаточную стоимость проекта</v>
      </c>
      <c r="B1116" s="218">
        <v>0</v>
      </c>
      <c r="C1116" s="91" t="str">
        <f ca="1">OFFSET(Язык!$A$671,B1116,LANGUAGE)</f>
        <v>нет</v>
      </c>
    </row>
    <row r="1117" spans="1:13" outlineLevel="1">
      <c r="A1117" s="47" t="str">
        <f ca="1">OFFSET(Язык!$A$511,0,LANGUAGE)</f>
        <v>Валюта расчетов:</v>
      </c>
      <c r="B1117" s="7">
        <v>1</v>
      </c>
      <c r="C1117" s="6" t="str">
        <f ca="1">CHOOSE($B$1117,CUR_Main,CUR_Foreign)</f>
        <v>$</v>
      </c>
    </row>
    <row r="1118" spans="1:13" outlineLevel="1" collapsed="1">
      <c r="A1118" s="47" t="str">
        <f ca="1">OFFSET(Язык!$A$512,0,LANGUAGE)</f>
        <v>Годовая ставка дисконтирования:</v>
      </c>
      <c r="B1118" s="24">
        <v>0.14000000000000001</v>
      </c>
      <c r="F1118" s="65">
        <f>SENS_Discount</f>
        <v>0.14000000000000001</v>
      </c>
      <c r="G1118" s="65">
        <f t="shared" ref="G1118:K1118" si="933">F1118</f>
        <v>0.14000000000000001</v>
      </c>
      <c r="H1118" s="65">
        <f t="shared" si="933"/>
        <v>0.14000000000000001</v>
      </c>
      <c r="I1118" s="65">
        <f t="shared" si="933"/>
        <v>0.14000000000000001</v>
      </c>
      <c r="J1118" s="65">
        <f t="shared" si="933"/>
        <v>0.14000000000000001</v>
      </c>
      <c r="K1118" s="65">
        <f t="shared" si="933"/>
        <v>0.14000000000000001</v>
      </c>
    </row>
    <row r="1119" spans="1:13" hidden="1" outlineLevel="2">
      <c r="A1119" s="47" t="str">
        <f ca="1">OFFSET(Язык!$A$513,0,LANGUAGE)</f>
        <v xml:space="preserve">    ставка дисконтирования на расчетный период</v>
      </c>
      <c r="B1119" s="76"/>
      <c r="G1119" s="66">
        <f t="shared" ref="G1119:J1119" si="934">POWER(1+G1118,PRJ_Step/360)-1</f>
        <v>0.14000000000000012</v>
      </c>
      <c r="H1119" s="66">
        <f t="shared" si="934"/>
        <v>0.14000000000000012</v>
      </c>
      <c r="I1119" s="66">
        <f t="shared" si="934"/>
        <v>0.14000000000000012</v>
      </c>
      <c r="J1119" s="66">
        <f t="shared" si="934"/>
        <v>0.14000000000000012</v>
      </c>
      <c r="K1119" s="66">
        <f t="shared" ref="K1119" si="935">POWER(1+K1118,PRJ_Step/360)-1</f>
        <v>0.14000000000000012</v>
      </c>
    </row>
    <row r="1120" spans="1:13" hidden="1" outlineLevel="2">
      <c r="A1120" s="47" t="str">
        <f ca="1">OFFSET(Язык!$A$514,0,LANGUAGE)</f>
        <v xml:space="preserve">    коэффициент дисконта</v>
      </c>
      <c r="B1120" s="76"/>
      <c r="D1120" s="2" t="s">
        <v>1746</v>
      </c>
      <c r="F1120" s="100">
        <v>1</v>
      </c>
      <c r="G1120" s="100">
        <f t="shared" ref="G1120:K1120" si="936">F1120*(1+G1119)</f>
        <v>1.1400000000000001</v>
      </c>
      <c r="H1120" s="100">
        <f t="shared" si="936"/>
        <v>1.2996000000000003</v>
      </c>
      <c r="I1120" s="100">
        <f t="shared" si="936"/>
        <v>1.4815440000000004</v>
      </c>
      <c r="J1120" s="100">
        <f t="shared" si="936"/>
        <v>1.6889601600000006</v>
      </c>
      <c r="K1120" s="100">
        <f t="shared" si="936"/>
        <v>1.9254145824000009</v>
      </c>
    </row>
    <row r="1121" spans="1:13" outlineLevel="1"/>
    <row r="1122" spans="1:13" outlineLevel="1">
      <c r="A1122" s="32" t="str">
        <f ca="1">OFFSET(Язык!$A$515,0,LANGUAGE)</f>
        <v>Учитываемые денежные потоки проекта:</v>
      </c>
      <c r="B1122" s="29" t="str">
        <f ca="1">OFFSET(Язык!$A$543,0,LANGUAGE)</f>
        <v>Учитывать?</v>
      </c>
    </row>
    <row r="1123" spans="1:13" outlineLevel="1">
      <c r="A1123" s="47" t="str">
        <f ca="1">OFFSET(Язык!$A$516,0,LANGUAGE)</f>
        <v>Денежные потоки от операционной деятельности</v>
      </c>
      <c r="B1123" s="29" t="str">
        <f ca="1">IF(E1123=1,OFFSET(Язык!$A$544,0,LANGUAGE),OFFSET(Язык!$A$545,0,LANGUAGE))</f>
        <v>да</v>
      </c>
      <c r="C1123" s="6" t="str">
        <f ca="1">C1117</f>
        <v>$</v>
      </c>
      <c r="E1123" s="2">
        <v>1</v>
      </c>
      <c r="F1123" s="26">
        <f t="shared" ref="F1123:J1123" ca="1" si="937">IF($E1123=1,F867*IF(CUR_I_Report&lt;&gt;$B$1117,IF(CUR_I_Report=2,F$98,1/F$98),1),"")</f>
        <v>0</v>
      </c>
      <c r="G1123" s="26">
        <f t="shared" ca="1" si="937"/>
        <v>441415.22857142857</v>
      </c>
      <c r="H1123" s="26">
        <f t="shared" ca="1" si="937"/>
        <v>1403311.107857143</v>
      </c>
      <c r="I1123" s="26">
        <f t="shared" ca="1" si="937"/>
        <v>984892.23842857219</v>
      </c>
      <c r="J1123" s="26">
        <f t="shared" ca="1" si="937"/>
        <v>1216742.5162000011</v>
      </c>
      <c r="K1123" s="26">
        <f t="shared" ref="K1123" ca="1" si="938">IF($E1123=1,K867*IF(CUR_I_Report&lt;&gt;$B$1117,IF(CUR_I_Report=2,K$98,1/K$98),1),"")</f>
        <v>1459931.9838914303</v>
      </c>
    </row>
    <row r="1124" spans="1:13" outlineLevel="1">
      <c r="A1124" s="47" t="str">
        <f ca="1">OFFSET(Язык!$A$517,0,LANGUAGE)</f>
        <v xml:space="preserve">    за исключением процентов по кредитам</v>
      </c>
      <c r="B1124" s="29" t="str">
        <f ca="1">IF(E1124=1,OFFSET(Язык!$A$544,0,LANGUAGE),OFFSET(Язык!$A$545,0,LANGUAGE))</f>
        <v>да</v>
      </c>
      <c r="C1124" s="6" t="str">
        <f ca="1">C1117</f>
        <v>$</v>
      </c>
      <c r="E1124" s="2">
        <f>IF(B1114=2,0,1)</f>
        <v>1</v>
      </c>
      <c r="F1124" s="26">
        <f t="shared" ref="F1124:J1124" si="939">IF($E1124=1,-F863*IF(CUR_I_Report&lt;&gt;$B$1117,IF(CUR_I_Report=2,F$98,1/F$98),1),"")</f>
        <v>0</v>
      </c>
      <c r="G1124" s="26">
        <f t="shared" si="939"/>
        <v>0</v>
      </c>
      <c r="H1124" s="26">
        <f t="shared" si="939"/>
        <v>406840.00000000006</v>
      </c>
      <c r="I1124" s="26">
        <f t="shared" si="939"/>
        <v>271040</v>
      </c>
      <c r="J1124" s="26">
        <f t="shared" si="939"/>
        <v>135240</v>
      </c>
      <c r="K1124" s="26">
        <f t="shared" ref="K1124" si="940">IF($E1124=1,-K863*IF(CUR_I_Report&lt;&gt;$B$1117,IF(CUR_I_Report=2,K$98,1/K$98),1),"")</f>
        <v>0</v>
      </c>
    </row>
    <row r="1125" spans="1:13" outlineLevel="1">
      <c r="A1125" s="47" t="str">
        <f ca="1">OFFSET(Язык!$A$518,0,LANGUAGE)</f>
        <v>Денежные потоки от инвестиционной деятельности</v>
      </c>
      <c r="B1125" s="29" t="str">
        <f ca="1">IF(E1125=1,OFFSET(Язык!$A$544,0,LANGUAGE),OFFSET(Язык!$A$545,0,LANGUAGE))</f>
        <v>да</v>
      </c>
      <c r="C1125" s="6" t="str">
        <f ca="1">C1117</f>
        <v>$</v>
      </c>
      <c r="E1125" s="2">
        <v>1</v>
      </c>
      <c r="F1125" s="26">
        <f t="shared" ref="F1125:J1125" si="941">IF($E1125=1,F875*IF(CUR_I_Report&lt;&gt;$B$1117,IF(CUR_I_Report=2,F$98,1/F$98),1),"")</f>
        <v>0</v>
      </c>
      <c r="G1125" s="26">
        <f t="shared" ca="1" si="941"/>
        <v>-2821370.3430555556</v>
      </c>
      <c r="H1125" s="26">
        <f t="shared" ca="1" si="941"/>
        <v>42207.909756944544</v>
      </c>
      <c r="I1125" s="26">
        <f t="shared" ca="1" si="941"/>
        <v>12520.968371031806</v>
      </c>
      <c r="J1125" s="26">
        <f t="shared" ca="1" si="941"/>
        <v>52013.98071706359</v>
      </c>
      <c r="K1125" s="26">
        <f t="shared" ref="K1125" ca="1" si="942">IF($E1125=1,K875*IF(CUR_I_Report&lt;&gt;$B$1117,IF(CUR_I_Report=2,K$98,1/K$98),1),"")</f>
        <v>54420.743654841237</v>
      </c>
    </row>
    <row r="1126" spans="1:13" outlineLevel="1">
      <c r="A1126" s="47" t="str">
        <f ca="1">OFFSET(Язык!$A$519,0,LANGUAGE)</f>
        <v>Поступления акционерного капитала</v>
      </c>
      <c r="B1126" s="29" t="str">
        <f ca="1">IF(E1126=1,OFFSET(Язык!$A$544,0,LANGUAGE),OFFSET(Язык!$A$545,0,LANGUAGE))</f>
        <v>нет</v>
      </c>
      <c r="C1126" s="6" t="str">
        <f ca="1">C1117</f>
        <v>$</v>
      </c>
      <c r="E1126" s="2">
        <f>IF(B1114=3,1,0)</f>
        <v>0</v>
      </c>
      <c r="F1126" s="26" t="str">
        <f t="shared" ref="F1126:J1126" si="943">IF($E1126=1,F877*IF(CUR_I_Report&lt;&gt;$B$1117,IF(CUR_I_Report=2,F$98,1/F$98),1),"")</f>
        <v/>
      </c>
      <c r="G1126" s="26" t="str">
        <f t="shared" si="943"/>
        <v/>
      </c>
      <c r="H1126" s="26" t="str">
        <f t="shared" si="943"/>
        <v/>
      </c>
      <c r="I1126" s="26" t="str">
        <f t="shared" si="943"/>
        <v/>
      </c>
      <c r="J1126" s="26" t="str">
        <f t="shared" si="943"/>
        <v/>
      </c>
      <c r="K1126" s="26" t="str">
        <f t="shared" ref="K1126" si="944">IF($E1126=1,K877*IF(CUR_I_Report&lt;&gt;$B$1117,IF(CUR_I_Report=2,K$98,1/K$98),1),"")</f>
        <v/>
      </c>
    </row>
    <row r="1127" spans="1:13" outlineLevel="1">
      <c r="A1127" s="47" t="str">
        <f ca="1">OFFSET(Язык!$A$520,0,LANGUAGE)</f>
        <v>Поступления кредитов</v>
      </c>
      <c r="B1127" s="29" t="str">
        <f ca="1">IF(E1127=1,OFFSET(Язык!$A$544,0,LANGUAGE),OFFSET(Язык!$A$545,0,LANGUAGE))</f>
        <v>нет</v>
      </c>
      <c r="C1127" s="6" t="str">
        <f ca="1">C1117</f>
        <v>$</v>
      </c>
      <c r="E1127" s="2">
        <f>IF(B1114=2,1,0)</f>
        <v>0</v>
      </c>
      <c r="F1127" s="26" t="str">
        <f t="shared" ref="F1127:J1127" si="945">IF($E1127=1,F879*IF(CUR_I_Report&lt;&gt;$B$1117,IF(CUR_I_Report=2,F$98,1/F$98),1),"")</f>
        <v/>
      </c>
      <c r="G1127" s="26" t="str">
        <f t="shared" si="945"/>
        <v/>
      </c>
      <c r="H1127" s="26" t="str">
        <f t="shared" si="945"/>
        <v/>
      </c>
      <c r="I1127" s="26" t="str">
        <f t="shared" si="945"/>
        <v/>
      </c>
      <c r="J1127" s="26" t="str">
        <f t="shared" si="945"/>
        <v/>
      </c>
      <c r="K1127" s="26" t="str">
        <f t="shared" ref="K1127" si="946">IF($E1127=1,K879*IF(CUR_I_Report&lt;&gt;$B$1117,IF(CUR_I_Report=2,K$98,1/K$98),1),"")</f>
        <v/>
      </c>
    </row>
    <row r="1128" spans="1:13" outlineLevel="1">
      <c r="A1128" s="47" t="str">
        <f ca="1">OFFSET(Язык!$A$521,0,LANGUAGE)</f>
        <v>Возврат кредитов</v>
      </c>
      <c r="B1128" s="29" t="str">
        <f ca="1">IF(E1128=1,OFFSET(Язык!$A$544,0,LANGUAGE),OFFSET(Язык!$A$545,0,LANGUAGE))</f>
        <v>нет</v>
      </c>
      <c r="C1128" s="6" t="str">
        <f ca="1">C1117</f>
        <v>$</v>
      </c>
      <c r="E1128" s="2">
        <f>IF(B1114=2,1,0)</f>
        <v>0</v>
      </c>
      <c r="F1128" s="26" t="str">
        <f t="shared" ref="F1128:J1128" si="947">IF($E1128=1,F880*IF(CUR_I_Report&lt;&gt;$B$1117,IF(CUR_I_Report=2,F$98,1/F$98),1),"")</f>
        <v/>
      </c>
      <c r="G1128" s="26" t="str">
        <f t="shared" si="947"/>
        <v/>
      </c>
      <c r="H1128" s="26" t="str">
        <f t="shared" si="947"/>
        <v/>
      </c>
      <c r="I1128" s="26" t="str">
        <f t="shared" si="947"/>
        <v/>
      </c>
      <c r="J1128" s="26" t="str">
        <f t="shared" si="947"/>
        <v/>
      </c>
      <c r="K1128" s="26" t="str">
        <f t="shared" ref="K1128" si="948">IF($E1128=1,K880*IF(CUR_I_Report&lt;&gt;$B$1117,IF(CUR_I_Report=2,K$98,1/K$98),1),"")</f>
        <v/>
      </c>
    </row>
    <row r="1129" spans="1:13" outlineLevel="1">
      <c r="A1129" s="47" t="str">
        <f ca="1">OFFSET(Язык!$A$522,0,LANGUAGE)</f>
        <v>Лизинговые платежи</v>
      </c>
      <c r="B1129" s="29" t="str">
        <f ca="1">IF(E1129=1,OFFSET(Язык!$A$544,0,LANGUAGE),OFFSET(Язык!$A$545,0,LANGUAGE))</f>
        <v>да</v>
      </c>
      <c r="C1129" s="6" t="str">
        <f ca="1">C1117</f>
        <v>$</v>
      </c>
      <c r="E1129" s="2">
        <v>1</v>
      </c>
      <c r="F1129" s="26">
        <f t="shared" ref="F1129:J1129" ca="1" si="949">IF($E1129=1,F881*IF(CUR_I_Report&lt;&gt;$B$1117,IF(CUR_I_Report=2,F$98,1/F$98),1),"")</f>
        <v>0</v>
      </c>
      <c r="G1129" s="26">
        <f t="shared" ca="1" si="949"/>
        <v>0</v>
      </c>
      <c r="H1129" s="26">
        <f t="shared" ca="1" si="949"/>
        <v>0</v>
      </c>
      <c r="I1129" s="26">
        <f t="shared" ca="1" si="949"/>
        <v>0</v>
      </c>
      <c r="J1129" s="26">
        <f t="shared" ca="1" si="949"/>
        <v>0</v>
      </c>
      <c r="K1129" s="26">
        <f t="shared" ref="K1129" ca="1" si="950">IF($E1129=1,K881*IF(CUR_I_Report&lt;&gt;$B$1117,IF(CUR_I_Report=2,K$98,1/K$98),1),"")</f>
        <v>0</v>
      </c>
    </row>
    <row r="1130" spans="1:13" outlineLevel="1">
      <c r="A1130" s="47" t="str">
        <f ca="1">OFFSET(Язык!$A$523,0,LANGUAGE)</f>
        <v>Выплата дивидендов</v>
      </c>
      <c r="B1130" s="29" t="str">
        <f ca="1">IF(E1130=1,OFFSET(Язык!$A$544,0,LANGUAGE),OFFSET(Язык!$A$545,0,LANGUAGE))</f>
        <v>нет</v>
      </c>
      <c r="C1130" s="6" t="str">
        <f ca="1">C1117</f>
        <v>$</v>
      </c>
      <c r="E1130" s="2">
        <f>IF(B1114=3,1,0)</f>
        <v>0</v>
      </c>
      <c r="F1130" s="26" t="str">
        <f t="shared" ref="F1130:J1130" si="951">IF($E1130=1,F882*IF(CUR_I_Report&lt;&gt;$B$1117,IF(CUR_I_Report=2,F$98,1/F$98),1),"")</f>
        <v/>
      </c>
      <c r="G1130" s="26" t="str">
        <f t="shared" si="951"/>
        <v/>
      </c>
      <c r="H1130" s="26" t="str">
        <f t="shared" si="951"/>
        <v/>
      </c>
      <c r="I1130" s="26" t="str">
        <f t="shared" si="951"/>
        <v/>
      </c>
      <c r="J1130" s="26" t="str">
        <f t="shared" si="951"/>
        <v/>
      </c>
      <c r="K1130" s="26" t="str">
        <f t="shared" ref="K1130" si="952">IF($E1130=1,K882*IF(CUR_I_Report&lt;&gt;$B$1117,IF(CUR_I_Report=2,K$98,1/K$98),1),"")</f>
        <v/>
      </c>
    </row>
    <row r="1131" spans="1:13" outlineLevel="1">
      <c r="A1131" s="47" t="str">
        <f ca="1">OFFSET(Язык!$A$842,0,LANGUAGE)</f>
        <v>Ранее осуществленные инвестиции</v>
      </c>
      <c r="B1131" s="29" t="str">
        <f ca="1">IF(E1131=1,OFFSET(Язык!$A$544,0,LANGUAGE),OFFSET(Язык!$A$545,0,LANGUAGE))</f>
        <v>нет</v>
      </c>
      <c r="C1131" s="6" t="str">
        <f ca="1">C1117</f>
        <v>$</v>
      </c>
      <c r="E1131" s="2">
        <f>IF(B1114=3,0,B1115)</f>
        <v>0</v>
      </c>
      <c r="F1131" s="26" t="str">
        <f>IF($E1131=1,-B459/IF($B$1117=2,F$98,1),"")</f>
        <v/>
      </c>
      <c r="G1131" s="26"/>
      <c r="H1131" s="26"/>
      <c r="I1131" s="26"/>
      <c r="J1131" s="26"/>
      <c r="K1131" s="26"/>
    </row>
    <row r="1132" spans="1:13" outlineLevel="1">
      <c r="A1132" s="162" t="str">
        <f ca="1">OFFSET(Язык!$A$851,0,LANGUAGE)</f>
        <v>Остаточная стоимость проекта</v>
      </c>
      <c r="B1132" s="154" t="str">
        <f ca="1">IF(E1132=1,OFFSET(Язык!$A$544,0,LANGUAGE),OFFSET(Язык!$A$545,0,LANGUAGE))</f>
        <v>нет</v>
      </c>
      <c r="C1132" s="41" t="str">
        <f ca="1">C1117</f>
        <v>$</v>
      </c>
      <c r="D1132" s="43"/>
      <c r="E1132" s="43">
        <f>IF(B1114=3,0,B1116)</f>
        <v>0</v>
      </c>
      <c r="F1132" s="57"/>
      <c r="G1132" s="57" t="str">
        <f t="shared" ref="G1132:J1132" si="953">IF(AND($E1132=1,G$27=PRJ_Len),(G976-G942)*IF(CUR_I_Report&lt;&gt;$B$1117,IF(CUR_I_Report=2,G$98,1/G$98),1),"")</f>
        <v/>
      </c>
      <c r="H1132" s="57" t="str">
        <f t="shared" si="953"/>
        <v/>
      </c>
      <c r="I1132" s="57" t="str">
        <f t="shared" si="953"/>
        <v/>
      </c>
      <c r="J1132" s="57" t="str">
        <f t="shared" si="953"/>
        <v/>
      </c>
      <c r="K1132" s="57" t="str">
        <f t="shared" ref="K1132" si="954">IF(AND($E1132=1,K$27=PRJ_Len),(K976-K942)*IF(CUR_I_Report&lt;&gt;$B$1117,IF(CUR_I_Report=2,K$98,1/K$98),1),"")</f>
        <v/>
      </c>
      <c r="L1132" s="43"/>
      <c r="M1132" s="43"/>
    </row>
    <row r="1133" spans="1:13" outlineLevel="1"/>
    <row r="1134" spans="1:13" outlineLevel="1">
      <c r="A1134" s="47" t="str">
        <f ca="1">OFFSET(Язык!$A$524,0,LANGUAGE) &amp; IF(CalcMethod=1,OFFSET(Язык!$A$877,0,LANGUAGE),"")</f>
        <v>Чистый денежный поток</v>
      </c>
      <c r="C1134" s="6" t="str">
        <f ca="1">C1117</f>
        <v>$</v>
      </c>
      <c r="F1134" s="26">
        <f t="shared" ref="F1134:J1134" ca="1" si="955">SUMIF($E1123:$E1132,1,F1123:F1132)*IF(CalcMethod=1,IF($B$1117=1,F$93,F$103),1)</f>
        <v>0</v>
      </c>
      <c r="G1134" s="26">
        <f t="shared" ca="1" si="955"/>
        <v>-2379955.1144841271</v>
      </c>
      <c r="H1134" s="26">
        <f t="shared" ca="1" si="955"/>
        <v>1852359.0176140876</v>
      </c>
      <c r="I1134" s="26">
        <f t="shared" ca="1" si="955"/>
        <v>1268453.206799604</v>
      </c>
      <c r="J1134" s="26">
        <f t="shared" ca="1" si="955"/>
        <v>1403996.4969170648</v>
      </c>
      <c r="K1134" s="26">
        <f t="shared" ref="K1134" ca="1" si="956">SUMIF($E1123:$E1132,1,K1123:K1132)*IF(CalcMethod=1,IF($B$1117=1,K$93,K$103),1)</f>
        <v>1514352.7275462716</v>
      </c>
    </row>
    <row r="1135" spans="1:13" outlineLevel="1">
      <c r="A1135" s="47" t="str">
        <f ca="1">OFFSET(Язык!$A$525,0,LANGUAGE)</f>
        <v>Дисконтированный чистый денежный поток</v>
      </c>
      <c r="C1135" s="6" t="str">
        <f ca="1">C1117</f>
        <v>$</v>
      </c>
      <c r="F1135" s="26">
        <f t="shared" ref="F1135:J1135" ca="1" si="957">F1134/F1120</f>
        <v>0</v>
      </c>
      <c r="G1135" s="26">
        <f t="shared" ca="1" si="957"/>
        <v>-2087679.9249860763</v>
      </c>
      <c r="H1135" s="26">
        <f t="shared" ca="1" si="957"/>
        <v>1425330.1151231818</v>
      </c>
      <c r="I1135" s="26">
        <f t="shared" ca="1" si="957"/>
        <v>856169.78422483813</v>
      </c>
      <c r="J1135" s="26">
        <f t="shared" ca="1" si="957"/>
        <v>831278.63532143016</v>
      </c>
      <c r="K1135" s="26">
        <f t="shared" ref="K1135" ca="1" si="958">K1134/K1120</f>
        <v>786507.35347535042</v>
      </c>
      <c r="M1135" s="30">
        <f ca="1">SUM(F1135:K1135)</f>
        <v>1811605.9631587244</v>
      </c>
    </row>
    <row r="1136" spans="1:13" outlineLevel="1">
      <c r="A1136" s="47" t="str">
        <f ca="1">OFFSET(Язык!$A$526,0,LANGUAGE)</f>
        <v>Дисконтированный поток нарастающим итогом</v>
      </c>
      <c r="C1136" s="6" t="str">
        <f ca="1">C1117</f>
        <v>$</v>
      </c>
      <c r="D1136" s="2" t="s">
        <v>1736</v>
      </c>
      <c r="F1136" s="26">
        <f t="shared" ref="F1136:K1136" ca="1" si="959">E1136+F1135</f>
        <v>0</v>
      </c>
      <c r="G1136" s="26">
        <f t="shared" ca="1" si="959"/>
        <v>-2087679.9249860763</v>
      </c>
      <c r="H1136" s="26">
        <f t="shared" ca="1" si="959"/>
        <v>-662349.80986289447</v>
      </c>
      <c r="I1136" s="26">
        <f t="shared" ca="1" si="959"/>
        <v>193819.97436194366</v>
      </c>
      <c r="J1136" s="26">
        <f t="shared" ca="1" si="959"/>
        <v>1025098.6096833738</v>
      </c>
      <c r="K1136" s="26">
        <f t="shared" ca="1" si="959"/>
        <v>1811605.9631587244</v>
      </c>
    </row>
    <row r="1137" spans="1:13" outlineLevel="1">
      <c r="F1137" s="26"/>
      <c r="G1137" s="26"/>
      <c r="H1137" s="26"/>
      <c r="I1137" s="26"/>
      <c r="J1137" s="26"/>
      <c r="K1137" s="26"/>
    </row>
    <row r="1138" spans="1:13" outlineLevel="1" collapsed="1">
      <c r="A1138" s="47" t="str">
        <f ca="1">OFFSET(Язык!$A$527,0,LANGUAGE)</f>
        <v>Простой срок окупаемости</v>
      </c>
      <c r="B1138" s="94">
        <f ca="1">IF(ISERROR(E1140),"нет",IF(OR(E1140=0),E1140*PRJ_Step/360,(E1140-1-OFFSET(F1139,0,E1140-1)/(-OFFSET(F1139,0,E1140-1)+OFFSET(F1139,0,E1140)))*PRJ_Step/360))</f>
        <v>2.4159365864202442</v>
      </c>
      <c r="C1138" s="6" t="str">
        <f ca="1">IF(B1138=0,OFFSET(Язык!$A$546,0,LANGUAGE),IF(OR(B1138&lt;1,AND(B1138&gt;1,B1138&lt;5)),OFFSET(Язык!$A$547,0,LANGUAGE),IF(B1138=1,OFFSET(Язык!$A$548,0,LANGUAGE),OFFSET(Язык!$A$546,0,LANGUAGE))))</f>
        <v>года</v>
      </c>
    </row>
    <row r="1139" spans="1:13" hidden="1" outlineLevel="2">
      <c r="A1139" s="47" t="str">
        <f ca="1">OFFSET(Язык!$A$843,0,LANGUAGE)</f>
        <v xml:space="preserve">    недисконтированный поток нарастающим итогом</v>
      </c>
      <c r="B1139" s="94"/>
      <c r="F1139" s="26">
        <f t="shared" ref="F1139:K1139" ca="1" si="960">E1139+F1134</f>
        <v>0</v>
      </c>
      <c r="G1139" s="26">
        <f t="shared" ca="1" si="960"/>
        <v>-2379955.1144841271</v>
      </c>
      <c r="H1139" s="26">
        <f t="shared" ca="1" si="960"/>
        <v>-527596.09687003959</v>
      </c>
      <c r="I1139" s="26">
        <f t="shared" ca="1" si="960"/>
        <v>740857.10992956441</v>
      </c>
      <c r="J1139" s="26">
        <f t="shared" ca="1" si="960"/>
        <v>2144853.6068466292</v>
      </c>
      <c r="K1139" s="26">
        <f t="shared" ca="1" si="960"/>
        <v>3659206.3343929006</v>
      </c>
    </row>
    <row r="1140" spans="1:13" hidden="1" outlineLevel="2">
      <c r="A1140" s="47" t="str">
        <f ca="1">OFFSET(Язык!$A$528,0,LANGUAGE)</f>
        <v xml:space="preserve">    знак остатка денежных средств</v>
      </c>
      <c r="D1140" s="2" t="s">
        <v>1736</v>
      </c>
      <c r="E1140" s="2">
        <f ca="1">(MATCH(1,F1140:K1140,0)-1)</f>
        <v>3</v>
      </c>
      <c r="F1140" s="2">
        <f t="shared" ref="F1140:J1140" ca="1" si="961">SIGN(F1139)</f>
        <v>0</v>
      </c>
      <c r="G1140" s="2">
        <f t="shared" ca="1" si="961"/>
        <v>-1</v>
      </c>
      <c r="H1140" s="2">
        <f t="shared" ca="1" si="961"/>
        <v>-1</v>
      </c>
      <c r="I1140" s="2">
        <f t="shared" ca="1" si="961"/>
        <v>1</v>
      </c>
      <c r="J1140" s="2">
        <f t="shared" ca="1" si="961"/>
        <v>1</v>
      </c>
      <c r="K1140" s="2">
        <f t="shared" ref="K1140" ca="1" si="962">SIGN(K1139)</f>
        <v>1</v>
      </c>
    </row>
    <row r="1141" spans="1:13" outlineLevel="1">
      <c r="F1141" s="26"/>
      <c r="G1141" s="26"/>
      <c r="H1141" s="26"/>
      <c r="I1141" s="26"/>
      <c r="J1141" s="26"/>
      <c r="K1141" s="26"/>
    </row>
    <row r="1142" spans="1:13" outlineLevel="1">
      <c r="A1142" s="32" t="str">
        <f ca="1">OFFSET(Язык!$A$529,0,LANGUAGE)</f>
        <v>Чистая приведенная стоимость (NPV)</v>
      </c>
      <c r="B1142" s="53">
        <f ca="1">M1135</f>
        <v>1811605.9631587244</v>
      </c>
      <c r="C1142" s="63" t="str">
        <f ca="1">C1117</f>
        <v>$</v>
      </c>
    </row>
    <row r="1143" spans="1:13" outlineLevel="1" collapsed="1">
      <c r="A1143" s="32" t="str">
        <f ca="1">OFFSET(Язык!$A$530,0,LANGUAGE)</f>
        <v>Дисконтированный срок окупаемости (PBP)</v>
      </c>
      <c r="B1143" s="101">
        <f ca="1">IF(ISERROR(E1144),"нет",IF(OR(E1144=0),E1144*PRJ_Step/360,(E1144-1-OFFSET(F1136,0,E1144-1)/(-OFFSET(F1136,0,E1144-1)+OFFSET(F1136,0,E1144)))*PRJ_Step/360))</f>
        <v>2.7736196979464474</v>
      </c>
      <c r="C1143" s="63" t="str">
        <f ca="1">IF(B1143=0,OFFSET(Язык!$A$546,0,LANGUAGE),IF(OR(B1143&lt;1,AND(B1143&gt;1,B1143&lt;5)),OFFSET(Язык!$A$547,0,LANGUAGE),IF(B1143=1,OFFSET(Язык!$A$548,0,LANGUAGE),OFFSET(Язык!$A$546,0,LANGUAGE))))</f>
        <v>года</v>
      </c>
    </row>
    <row r="1144" spans="1:13" hidden="1" outlineLevel="2">
      <c r="A1144" s="47" t="str">
        <f ca="1">OFFSET(Язык!$A$531,0,LANGUAGE)</f>
        <v xml:space="preserve">    знак остатка дисконтированных денежных средств</v>
      </c>
      <c r="B1144" s="94"/>
      <c r="D1144" s="2" t="s">
        <v>1736</v>
      </c>
      <c r="E1144" s="2">
        <f ca="1">(MATCH(1,F1144:K1144,0)-1)</f>
        <v>3</v>
      </c>
      <c r="F1144" s="2">
        <f t="shared" ref="F1144:J1144" ca="1" si="963">SIGN(F1136)</f>
        <v>0</v>
      </c>
      <c r="G1144" s="2">
        <f t="shared" ca="1" si="963"/>
        <v>-1</v>
      </c>
      <c r="H1144" s="2">
        <f t="shared" ca="1" si="963"/>
        <v>-1</v>
      </c>
      <c r="I1144" s="2">
        <f t="shared" ca="1" si="963"/>
        <v>1</v>
      </c>
      <c r="J1144" s="2">
        <f t="shared" ca="1" si="963"/>
        <v>1</v>
      </c>
      <c r="K1144" s="2">
        <f t="shared" ref="K1144" ca="1" si="964">SIGN(K1136)</f>
        <v>1</v>
      </c>
    </row>
    <row r="1145" spans="1:13" outlineLevel="1">
      <c r="A1145" s="32" t="str">
        <f ca="1">IF(B1114=3,OFFSET(Язык!$A$837,0,LANGUAGE),OFFSET(Язык!$A$532,0,LANGUAGE))</f>
        <v>Внутренняя норма рентабельности (IRR)</v>
      </c>
      <c r="B1145" s="102">
        <f ca="1">IF(ISERROR(E1145),OFFSET(Язык!$A$549,0,LANGUAGE),E1145)</f>
        <v>0.54391186856886931</v>
      </c>
      <c r="E1145" s="2">
        <f ca="1">(POWER(1+IRR(F1134:K1134,0.2*PRJ_Step/360),360/PRJ_Step)-1)</f>
        <v>0.54391186856886931</v>
      </c>
    </row>
    <row r="1146" spans="1:13" outlineLevel="1"/>
    <row r="1147" spans="1:13" outlineLevel="1" collapsed="1">
      <c r="A1147" s="47" t="str">
        <f ca="1">OFFSET(Язык!$A$533,0,LANGUAGE)</f>
        <v>Норма доходности полных инвестиционных затрат</v>
      </c>
      <c r="B1147" s="93">
        <f ca="1">IF(M1149&gt;0,NPV/M1149,OFFSET(Язык!$A$549,0,LANGUAGE))</f>
        <v>0.76281470990627231</v>
      </c>
    </row>
    <row r="1148" spans="1:13" hidden="1" outlineLevel="2">
      <c r="A1148" s="47" t="str">
        <f ca="1">OFFSET(Язык!$A$534,0,LANGUAGE)</f>
        <v xml:space="preserve">    инвестиции</v>
      </c>
      <c r="F1148" s="26">
        <f t="shared" ref="F1148:J1148" si="965">-(F869+F870+F871+F872)</f>
        <v>0</v>
      </c>
      <c r="G1148" s="26">
        <f t="shared" ca="1" si="965"/>
        <v>2821370.3430555556</v>
      </c>
      <c r="H1148" s="26">
        <f t="shared" ca="1" si="965"/>
        <v>-42207.909756944544</v>
      </c>
      <c r="I1148" s="26">
        <f t="shared" ca="1" si="965"/>
        <v>-12520.968371031806</v>
      </c>
      <c r="J1148" s="26">
        <f t="shared" ca="1" si="965"/>
        <v>-52013.98071706359</v>
      </c>
      <c r="K1148" s="26">
        <f t="shared" ref="K1148" ca="1" si="966">-(K869+K870+K871+K872)</f>
        <v>-54420.743654841237</v>
      </c>
    </row>
    <row r="1149" spans="1:13" hidden="1" outlineLevel="2">
      <c r="A1149" s="47" t="str">
        <f ca="1">OFFSET(Язык!$A$535,0,LANGUAGE)</f>
        <v xml:space="preserve">    дисконтированная стоимость инвестиций</v>
      </c>
      <c r="F1149" s="26">
        <f t="shared" ref="F1149:J1149" si="967">F1148/F1120</f>
        <v>0</v>
      </c>
      <c r="G1149" s="26">
        <f t="shared" ca="1" si="967"/>
        <v>2474886.2658382063</v>
      </c>
      <c r="H1149" s="26">
        <f t="shared" ca="1" si="967"/>
        <v>-32477.616002573512</v>
      </c>
      <c r="I1149" s="26">
        <f t="shared" ca="1" si="967"/>
        <v>-8451.2970057128259</v>
      </c>
      <c r="J1149" s="26">
        <f t="shared" ca="1" si="967"/>
        <v>-30796.452130086698</v>
      </c>
      <c r="K1149" s="26">
        <f t="shared" ref="K1149" ca="1" si="968">K1148/K1120</f>
        <v>-28264.428945482789</v>
      </c>
      <c r="M1149" s="30">
        <f ca="1">SUM(F1149:K1149)</f>
        <v>2374896.4717543502</v>
      </c>
    </row>
    <row r="1150" spans="1:13" outlineLevel="1">
      <c r="M1150" s="30"/>
    </row>
    <row r="1151" spans="1:13" outlineLevel="1">
      <c r="A1151" s="32" t="str">
        <f ca="1">OFFSET(Язык!$A$536,0,LANGUAGE)</f>
        <v>Модифицированная IRR (MIRR)</v>
      </c>
      <c r="B1151" s="102">
        <f ca="1">IF(ISERROR(E1151),OFFSET(Язык!$A$549,0,LANGUAGE),E1151)</f>
        <v>0.29172208202758587</v>
      </c>
      <c r="E1151" s="74">
        <f ca="1">(POWER(1+MIRR(F1134:K1134,POWER(1+B1153,PRJ_Step/360)-1,POWER(1+B1152,PRJ_Step/360)-1),360/PRJ_Step)-1)</f>
        <v>0.29172208202758587</v>
      </c>
    </row>
    <row r="1152" spans="1:13" outlineLevel="1">
      <c r="A1152" s="47" t="str">
        <f ca="1">OFFSET(Язык!$A$537,0,LANGUAGE)</f>
        <v>Средневзвешенная стоимость капитала</v>
      </c>
      <c r="B1152" s="50">
        <f>B1118</f>
        <v>0.14000000000000001</v>
      </c>
    </row>
    <row r="1153" spans="1:13" outlineLevel="1">
      <c r="A1153" s="162" t="str">
        <f ca="1">OFFSET(Язык!$A$538,0,LANGUAGE)</f>
        <v>Ставка дисконтирования инвестиционных затрат</v>
      </c>
      <c r="B1153" s="54">
        <f>B1118</f>
        <v>0.14000000000000001</v>
      </c>
      <c r="C1153" s="41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1:13" outlineLevel="1"/>
    <row r="1155" spans="1:13" outlineLevel="1">
      <c r="A1155" s="37" t="str">
        <f ca="1">OFFSET(Язык!$A$539,0,LANGUAGE)</f>
        <v>График: Окупаемость проекта</v>
      </c>
      <c r="B1155" s="76"/>
    </row>
    <row r="1156" spans="1:13" outlineLevel="2">
      <c r="B1156" s="76"/>
    </row>
    <row r="1157" spans="1:13" outlineLevel="2">
      <c r="B1157" s="76"/>
    </row>
    <row r="1158" spans="1:13" outlineLevel="2">
      <c r="B1158" s="76"/>
    </row>
    <row r="1159" spans="1:13" outlineLevel="2">
      <c r="B1159" s="76"/>
    </row>
    <row r="1160" spans="1:13" outlineLevel="2">
      <c r="B1160" s="76"/>
    </row>
    <row r="1161" spans="1:13" outlineLevel="2">
      <c r="B1161" s="76"/>
    </row>
    <row r="1162" spans="1:13" outlineLevel="2">
      <c r="B1162" s="76"/>
    </row>
    <row r="1163" spans="1:13" outlineLevel="2">
      <c r="B1163" s="76"/>
    </row>
    <row r="1164" spans="1:13" outlineLevel="2">
      <c r="B1164" s="76"/>
    </row>
    <row r="1165" spans="1:13" outlineLevel="2">
      <c r="B1165" s="76"/>
    </row>
    <row r="1166" spans="1:13" outlineLevel="2">
      <c r="B1166" s="76"/>
    </row>
    <row r="1167" spans="1:13" outlineLevel="2">
      <c r="B1167" s="76"/>
    </row>
    <row r="1168" spans="1:13" outlineLevel="2">
      <c r="B1168" s="76"/>
    </row>
    <row r="1169" spans="1:13" outlineLevel="2">
      <c r="B1169" s="76"/>
    </row>
    <row r="1170" spans="1:13" outlineLevel="2">
      <c r="B1170" s="76"/>
    </row>
    <row r="1171" spans="1:13" outlineLevel="2">
      <c r="B1171" s="76"/>
    </row>
    <row r="1172" spans="1:13" outlineLevel="2">
      <c r="B1172" s="76"/>
    </row>
    <row r="1173" spans="1:13" outlineLevel="2">
      <c r="B1173" s="76"/>
    </row>
    <row r="1174" spans="1:13" outlineLevel="2">
      <c r="B1174" s="76"/>
    </row>
    <row r="1175" spans="1:13" outlineLevel="2">
      <c r="B1175" s="76"/>
    </row>
    <row r="1176" spans="1:13" outlineLevel="2">
      <c r="B1176" s="76"/>
    </row>
    <row r="1177" spans="1:13" outlineLevel="2">
      <c r="B1177" s="76"/>
    </row>
    <row r="1178" spans="1:13" outlineLevel="2">
      <c r="B1178" s="76"/>
    </row>
    <row r="1179" spans="1:13" outlineLevel="1"/>
    <row r="1180" spans="1:13" ht="12" outlineLevel="1" thickBot="1"/>
    <row r="1181" spans="1:13" ht="15.95" customHeight="1" thickTop="1" thickBot="1">
      <c r="A1181" s="18" t="str">
        <f ca="1">OFFSET(Язык!$A$550,0,LANGUAGE)</f>
        <v>ОЦЕНКА БИЗНЕСА</v>
      </c>
      <c r="B1181" s="23"/>
      <c r="C1181" s="19"/>
      <c r="D1181" s="18"/>
      <c r="E1181" s="18"/>
      <c r="F1181" s="19" t="str">
        <f t="shared" ref="F1181:K1181" si="969">PeriodTitle</f>
        <v>"0"</v>
      </c>
      <c r="G1181" s="19">
        <f t="shared" si="969"/>
        <v>2013</v>
      </c>
      <c r="H1181" s="19">
        <f t="shared" si="969"/>
        <v>2014</v>
      </c>
      <c r="I1181" s="19">
        <f t="shared" si="969"/>
        <v>2015</v>
      </c>
      <c r="J1181" s="19">
        <f t="shared" si="969"/>
        <v>2016</v>
      </c>
      <c r="K1181" s="19">
        <f t="shared" si="969"/>
        <v>2017</v>
      </c>
      <c r="L1181" s="19"/>
      <c r="M1181" s="23" t="str">
        <f ca="1">OFFSET(Язык!$A$77,0,LANGUAGE)</f>
        <v>ИТОГО</v>
      </c>
    </row>
    <row r="1182" spans="1:13" ht="12" outlineLevel="1" thickTop="1"/>
    <row r="1183" spans="1:13" outlineLevel="1">
      <c r="A1183" s="2" t="str">
        <f ca="1">OFFSET(Язык!$A$551,0,LANGUAGE)</f>
        <v>Валюта расчетов:</v>
      </c>
      <c r="B1183" s="7">
        <v>1</v>
      </c>
      <c r="C1183" s="6" t="str">
        <f ca="1">CHOOSE(B1183,CUR_Main,CUR_Foreign)</f>
        <v>$</v>
      </c>
    </row>
    <row r="1184" spans="1:13" outlineLevel="1" collapsed="1">
      <c r="A1184" s="2" t="str">
        <f ca="1">OFFSET(Язык!$A$552,0,LANGUAGE)</f>
        <v>Расчеты ведутся для WACC</v>
      </c>
      <c r="B1184" s="50">
        <f>B1118</f>
        <v>0.14000000000000001</v>
      </c>
      <c r="F1184" s="66">
        <f>B1184</f>
        <v>0.14000000000000001</v>
      </c>
      <c r="G1184" s="65">
        <f t="shared" ref="G1184:K1184" si="970">F1184</f>
        <v>0.14000000000000001</v>
      </c>
      <c r="H1184" s="65">
        <f t="shared" si="970"/>
        <v>0.14000000000000001</v>
      </c>
      <c r="I1184" s="65">
        <f t="shared" si="970"/>
        <v>0.14000000000000001</v>
      </c>
      <c r="J1184" s="65">
        <f t="shared" si="970"/>
        <v>0.14000000000000001</v>
      </c>
      <c r="K1184" s="65">
        <f t="shared" si="970"/>
        <v>0.14000000000000001</v>
      </c>
    </row>
    <row r="1185" spans="1:13" ht="12.75" hidden="1" outlineLevel="2" thickTop="1" thickBot="1">
      <c r="A1185" s="2" t="str">
        <f ca="1">OFFSET(Язык!$A$553,0,LANGUAGE)</f>
        <v xml:space="preserve">    ставка дисконтирования на расчетный период</v>
      </c>
      <c r="B1185" s="76"/>
      <c r="G1185" s="66">
        <f t="shared" ref="G1185:J1185" si="971">POWER(1+G1184,PRJ_Step/360)-1</f>
        <v>0.14000000000000012</v>
      </c>
      <c r="H1185" s="66">
        <f t="shared" si="971"/>
        <v>0.14000000000000012</v>
      </c>
      <c r="I1185" s="66">
        <f t="shared" si="971"/>
        <v>0.14000000000000012</v>
      </c>
      <c r="J1185" s="66">
        <f t="shared" si="971"/>
        <v>0.14000000000000012</v>
      </c>
      <c r="K1185" s="66">
        <f t="shared" ref="K1185" si="972">POWER(1+K1184,PRJ_Step/360)-1</f>
        <v>0.14000000000000012</v>
      </c>
    </row>
    <row r="1186" spans="1:13" ht="12.75" hidden="1" outlineLevel="2" thickTop="1" thickBot="1">
      <c r="A1186" s="2" t="str">
        <f ca="1">OFFSET(Язык!$A$554,0,LANGUAGE)</f>
        <v xml:space="preserve">    коэффициент дисконта</v>
      </c>
      <c r="B1186" s="76"/>
      <c r="D1186" s="2" t="s">
        <v>1746</v>
      </c>
      <c r="F1186" s="100">
        <v>1</v>
      </c>
      <c r="G1186" s="100">
        <f t="shared" ref="G1186:K1186" si="973">F1186*(1+G1185)</f>
        <v>1.1400000000000001</v>
      </c>
      <c r="H1186" s="100">
        <f t="shared" si="973"/>
        <v>1.2996000000000003</v>
      </c>
      <c r="I1186" s="100">
        <f t="shared" si="973"/>
        <v>1.4815440000000004</v>
      </c>
      <c r="J1186" s="100">
        <f t="shared" si="973"/>
        <v>1.6889601600000006</v>
      </c>
      <c r="K1186" s="100">
        <f t="shared" si="973"/>
        <v>1.9254145824000009</v>
      </c>
    </row>
    <row r="1187" spans="1:13" outlineLevel="1"/>
    <row r="1188" spans="1:13" outlineLevel="1">
      <c r="A1188" s="32" t="str">
        <f ca="1">OFFSET(Язык!$A$555,0,LANGUAGE) &amp; OFFSET(Язык!$A$880,CalcMethod-1,LANGUAGE)</f>
        <v>Компоненты оценки бизнеса (дисконтированные)</v>
      </c>
    </row>
    <row r="1189" spans="1:13" outlineLevel="1"/>
    <row r="1190" spans="1:13" outlineLevel="1">
      <c r="A1190" s="2" t="str">
        <f ca="1">OFFSET(Язык!$A$556,0,LANGUAGE)</f>
        <v>Чистая стоимость денежных потоков проекта (NPV)</v>
      </c>
      <c r="B1190" s="95"/>
      <c r="C1190" s="6" t="str">
        <f ca="1">C1183</f>
        <v>$</v>
      </c>
      <c r="F1190" s="26">
        <f t="shared" ref="F1190:J1190" ca="1" si="974">(F867+F875+F879+F880+F881)*IF(CUR_I_Report&lt;&gt;$B$1183,IF(CUR_I_Report=2,F$98,1/F$98),1)/F1186*IF(CalcMethod=1,IF($B$1183=1,F$93,F$103),1)</f>
        <v>0</v>
      </c>
      <c r="G1190" s="26">
        <f t="shared" ca="1" si="974"/>
        <v>461442.88203146739</v>
      </c>
      <c r="H1190" s="26">
        <f t="shared" ca="1" si="974"/>
        <v>365896.44322413625</v>
      </c>
      <c r="I1190" s="26">
        <f t="shared" ca="1" si="974"/>
        <v>18503.133757488129</v>
      </c>
      <c r="J1190" s="26">
        <f t="shared" ca="1" si="974"/>
        <v>179256.15067028263</v>
      </c>
      <c r="K1190" s="26">
        <f t="shared" ref="K1190" ca="1" si="975">(K867+K875+K879+K880+K881)*IF(CUR_I_Report&lt;&gt;$B$1183,IF(CUR_I_Report=2,K$98,1/K$98),1)/K1186*IF(CalcMethod=1,IF($B$1183=1,K$93,K$103),1)</f>
        <v>786507.35347535042</v>
      </c>
      <c r="M1190" s="30">
        <f ca="1">SUM(F1190:K1190)</f>
        <v>1811605.9631587248</v>
      </c>
    </row>
    <row r="1191" spans="1:13" outlineLevel="1">
      <c r="A1191" s="2" t="str">
        <f ca="1">OFFSET(Язык!$A$557,0,LANGUAGE)</f>
        <v>Дисконтированные дивиденды (ДД)</v>
      </c>
      <c r="B1191" s="95"/>
      <c r="C1191" s="6" t="str">
        <f ca="1">C1183</f>
        <v>$</v>
      </c>
      <c r="F1191" s="26">
        <f t="shared" ref="F1191:J1191" si="976">F882*IF(CUR_I_Report&lt;&gt;$B$1183,IF(CUR_I_Report=2,F$98,1/F$98),1)/F1186*IF(CalcMethod=1,IF($B$1183=1,F$93,F$103),1)</f>
        <v>0</v>
      </c>
      <c r="G1191" s="26">
        <f t="shared" ca="1" si="976"/>
        <v>0</v>
      </c>
      <c r="H1191" s="26">
        <f t="shared" ca="1" si="976"/>
        <v>0</v>
      </c>
      <c r="I1191" s="26">
        <f t="shared" ca="1" si="976"/>
        <v>0</v>
      </c>
      <c r="J1191" s="26">
        <f t="shared" ca="1" si="976"/>
        <v>0</v>
      </c>
      <c r="K1191" s="26">
        <f t="shared" ref="K1191" ca="1" si="977">K882*IF(CUR_I_Report&lt;&gt;$B$1183,IF(CUR_I_Report=2,K$98,1/K$98),1)/K1186*IF(CalcMethod=1,IF($B$1183=1,K$93,K$103),1)</f>
        <v>0</v>
      </c>
      <c r="M1191" s="30">
        <f ca="1">SUM(F1191:K1191)</f>
        <v>0</v>
      </c>
    </row>
    <row r="1192" spans="1:13" outlineLevel="1">
      <c r="A1192" s="2" t="str">
        <f ca="1">OFFSET(Язык!$A$558,0,LANGUAGE)</f>
        <v>Стоимость чистых активов, за вычетом ден. средств</v>
      </c>
      <c r="B1192" s="95"/>
      <c r="C1192" s="6" t="str">
        <f ca="1">C1183</f>
        <v>$</v>
      </c>
      <c r="D1192" s="2" t="s">
        <v>1736</v>
      </c>
      <c r="F1192" s="26">
        <f t="shared" ref="F1192:J1192" ca="1" si="978">(F976-F942)*IF(CUR_I_Report&lt;&gt;$B$1183,IF(CUR_I_Report=2,F$98,1/F$98),1)/F1186*IF(CalcMethod=1,IF($B$1183=1,F$93,F$103),1)</f>
        <v>0</v>
      </c>
      <c r="G1192" s="26">
        <f t="shared" ca="1" si="978"/>
        <v>-106897.05043859634</v>
      </c>
      <c r="H1192" s="26">
        <f t="shared" ca="1" si="978"/>
        <v>120993.05558990697</v>
      </c>
      <c r="I1192" s="26">
        <f t="shared" ca="1" si="978"/>
        <v>537355.5117342351</v>
      </c>
      <c r="J1192" s="26">
        <f t="shared" ca="1" si="978"/>
        <v>827806.04685890605</v>
      </c>
      <c r="K1192" s="26">
        <f t="shared" ref="K1192" ca="1" si="979">(K976-K942)*IF(CUR_I_Report&lt;&gt;$B$1183,IF(CUR_I_Report=2,K$98,1/K$98),1)/K1186*IF(CalcMethod=1,IF($B$1183=1,K$93,K$103),1)</f>
        <v>535404.13234629971</v>
      </c>
    </row>
    <row r="1193" spans="1:13" outlineLevel="1">
      <c r="A1193" s="2" t="str">
        <f ca="1">OFFSET(Язык!$A$559,0,LANGUAGE)</f>
        <v>Посленалоговая операционная прибыль (NOPLAT)</v>
      </c>
      <c r="B1193" s="95"/>
      <c r="C1193" s="6" t="str">
        <f ca="1">C1183</f>
        <v>$</v>
      </c>
      <c r="F1193" s="26">
        <f t="shared" ref="F1193:J1193" si="980">F761*(1-ProfitTax)*IF(CUR_I_Report&lt;&gt;$B$1183,IF(CUR_I_Report=2,F$98,1/F$98),1)/F1186*IF(CalcMethod=1,IF($B$1183=1,F$93,F$103),1)</f>
        <v>0</v>
      </c>
      <c r="G1193" s="26">
        <f t="shared" ca="1" si="980"/>
        <v>387206.34085213026</v>
      </c>
      <c r="H1193" s="26">
        <f t="shared" ca="1" si="980"/>
        <v>872785.9868970674</v>
      </c>
      <c r="I1193" s="26">
        <f t="shared" ca="1" si="980"/>
        <v>631817.49618737551</v>
      </c>
      <c r="J1193" s="26">
        <f t="shared" ca="1" si="980"/>
        <v>624015.50062106224</v>
      </c>
      <c r="K1193" s="26">
        <f t="shared" ref="K1193" ca="1" si="981">K761*(1-ProfitTax)*IF(CUR_I_Report&lt;&gt;$B$1183,IF(CUR_I_Report=2,K$98,1/K$98),1)/K1186*IF(CalcMethod=1,IF($B$1183=1,K$93,K$103),1)</f>
        <v>614722.88602701563</v>
      </c>
    </row>
    <row r="1194" spans="1:13" outlineLevel="1"/>
    <row r="1195" spans="1:13" outlineLevel="1">
      <c r="A1195" s="32" t="str">
        <f ca="1">OFFSET(Язык!$A$560,0,LANGUAGE)</f>
        <v>Варианты оценки стоимости бизнеса</v>
      </c>
    </row>
    <row r="1196" spans="1:13" outlineLevel="1">
      <c r="B1196" s="29" t="str">
        <f ca="1">OFFSET(Язык!$A$567,0,LANGUAGE)</f>
        <v>Значение</v>
      </c>
      <c r="C1196" s="29" t="str">
        <f ca="1">OFFSET(Язык!$A$568,0,LANGUAGE)</f>
        <v>Вес</v>
      </c>
    </row>
    <row r="1197" spans="1:13" outlineLevel="1">
      <c r="A1197" s="2" t="str">
        <f ca="1">OFFSET(Язык!$A$561,0,LANGUAGE)</f>
        <v>Оценка по NPV с учетом стоимости чистых активов</v>
      </c>
      <c r="B1197" s="95">
        <f ca="1">M1190+OFFSET(F1192,0,PRJ_Len)</f>
        <v>2347010.0955050243</v>
      </c>
      <c r="C1197" s="24">
        <v>0.5</v>
      </c>
    </row>
    <row r="1198" spans="1:13" outlineLevel="1">
      <c r="A1198" s="2" t="str">
        <f ca="1">OFFSET(Язык!$A$562,0,LANGUAGE)</f>
        <v>Оценка по NPV с учетом продленной стоимости:</v>
      </c>
    </row>
    <row r="1199" spans="1:13" outlineLevel="1">
      <c r="A1199" s="2" t="str">
        <f ca="1">OFFSET(Язык!$A$563,0,LANGUAGE)</f>
        <v xml:space="preserve">    рассчитанной на основе ДД</v>
      </c>
      <c r="B1199" s="95">
        <f ca="1">M1190+OFFSET(F1191,0,PRJ_Len)/(OFFSET(F1185,0,PRJ_Len)-IF($B$1183=1,OFFSET(F92,0,PRJ_Len),OFFSET(F102,0,PRJ_Len)))</f>
        <v>1811605.9631587248</v>
      </c>
      <c r="C1199" s="24">
        <v>0</v>
      </c>
    </row>
    <row r="1200" spans="1:13" outlineLevel="1">
      <c r="A1200" s="2" t="str">
        <f ca="1">OFFSET(Язык!$A$564,0,LANGUAGE)</f>
        <v xml:space="preserve">    рассчитанной на основе NOPLAT</v>
      </c>
      <c r="B1200" s="95">
        <f ca="1">M1190+OFFSET(F1193,0,PRJ_Len)/(OFFSET(F1185,0,PRJ_Len)-IF($B$1183=1,OFFSET(F92,0,PRJ_Len),OFFSET(F102,0,PRJ_Len)))</f>
        <v>17179678.113834102</v>
      </c>
      <c r="C1200" s="24">
        <v>0.5</v>
      </c>
    </row>
    <row r="1201" spans="1:13" outlineLevel="1">
      <c r="A1201" s="2" t="str">
        <f ca="1">OFFSET(Язык!$A$565,0,LANGUAGE)</f>
        <v>Оценка на основе ДД с учетом продленной стоимости</v>
      </c>
      <c r="B1201" s="95">
        <f ca="1">M1191+OFFSET(F1191,0,PRJ_Len)/(OFFSET(F1185,0,PRJ_Len)-IF($B$1183=1,OFFSET(F92,0,PRJ_Len),OFFSET(F102,0,PRJ_Len)))</f>
        <v>0</v>
      </c>
      <c r="C1201" s="24">
        <v>0</v>
      </c>
    </row>
    <row r="1202" spans="1:13" outlineLevel="1">
      <c r="B1202" s="2"/>
      <c r="C1202" s="2"/>
    </row>
    <row r="1203" spans="1:13" outlineLevel="1">
      <c r="A1203" s="43" t="str">
        <f ca="1">OFFSET(Язык!$A$566,0,LANGUAGE)</f>
        <v>Средняя оценка стоимости</v>
      </c>
      <c r="B1203" s="164">
        <f ca="1">(B1197*C1197+B1199*C1199+B1200*C1200+B1201*C1201)/(C1197+C1199+C1200+C1201)</f>
        <v>9763344.1046695635</v>
      </c>
      <c r="C1203" s="41" t="str">
        <f ca="1">C1183</f>
        <v>$</v>
      </c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1:13" outlineLevel="1"/>
    <row r="1205" spans="1:13" ht="12" outlineLevel="1" thickBot="1"/>
    <row r="1206" spans="1:13" ht="15.95" customHeight="1" collapsed="1" thickTop="1" thickBot="1">
      <c r="A1206" s="18"/>
      <c r="B1206" s="23"/>
      <c r="C1206" s="19"/>
      <c r="D1206" s="18"/>
      <c r="E1206" s="18"/>
      <c r="F1206" s="19" t="str">
        <f t="shared" ref="F1206:K1206" si="982">PeriodTitle</f>
        <v>"0"</v>
      </c>
      <c r="G1206" s="19">
        <f t="shared" si="982"/>
        <v>2013</v>
      </c>
      <c r="H1206" s="19">
        <f t="shared" si="982"/>
        <v>2014</v>
      </c>
      <c r="I1206" s="19">
        <f t="shared" si="982"/>
        <v>2015</v>
      </c>
      <c r="J1206" s="19">
        <f t="shared" si="982"/>
        <v>2016</v>
      </c>
      <c r="K1206" s="19">
        <f t="shared" si="982"/>
        <v>2017</v>
      </c>
      <c r="L1206" s="19"/>
      <c r="M1206" s="23" t="str">
        <f ca="1">OFFSET(Язык!$A$77,0,LANGUAGE)</f>
        <v>ИТОГО</v>
      </c>
    </row>
    <row r="1207" spans="1:13" ht="12.75" hidden="1" outlineLevel="1" thickTop="1" thickBot="1"/>
    <row r="1208" spans="1:13" ht="12.75" hidden="1" outlineLevel="1" thickTop="1" thickBot="1">
      <c r="A1208" s="32" t="str">
        <f ca="1">OFFSET(Язык!$A$587,0,LANGUAGE)</f>
        <v>Доли налоговых поступлений в бюджеты разных уровней</v>
      </c>
    </row>
    <row r="1209" spans="1:13" ht="12.75" hidden="1" outlineLevel="1" thickTop="1" thickBot="1">
      <c r="B1209" s="6" t="str">
        <f ca="1">OFFSET(Язык!$A$616,0,LANGUAGE)</f>
        <v>федеральный</v>
      </c>
      <c r="C1209" s="6" t="str">
        <f ca="1">OFFSET(Язык!$A$617,0,LANGUAGE)</f>
        <v>территории</v>
      </c>
    </row>
    <row r="1210" spans="1:13" ht="12.75" hidden="1" outlineLevel="1" thickTop="1" thickBot="1">
      <c r="A1210" s="47" t="str">
        <f ca="1">OFFSET(Язык!$A$588,0,LANGUAGE)</f>
        <v>Налог на добавленную стоимость</v>
      </c>
      <c r="B1210" s="76">
        <f>1-C1210</f>
        <v>1</v>
      </c>
      <c r="C1210" s="50">
        <v>0</v>
      </c>
    </row>
    <row r="1211" spans="1:13" ht="12.75" hidden="1" outlineLevel="1" thickTop="1" thickBot="1">
      <c r="A1211" s="47" t="str">
        <f ca="1">OFFSET(Язык!$A$589,0,LANGUAGE)</f>
        <v>Налог на прибыль</v>
      </c>
      <c r="B1211" s="76">
        <f t="shared" ref="B1211:B1219" si="983">1-C1211</f>
        <v>0.20833333333333337</v>
      </c>
      <c r="C1211" s="50">
        <f>19/24</f>
        <v>0.79166666666666663</v>
      </c>
    </row>
    <row r="1212" spans="1:13" ht="12.75" hidden="1" outlineLevel="1" thickTop="1" thickBot="1">
      <c r="A1212" s="47" t="str">
        <f ca="1">OFFSET(Язык!$A$590,0,LANGUAGE)</f>
        <v xml:space="preserve">Начисления на заработную плату </v>
      </c>
      <c r="B1212" s="76">
        <f t="shared" si="983"/>
        <v>1</v>
      </c>
      <c r="C1212" s="50">
        <v>0</v>
      </c>
    </row>
    <row r="1213" spans="1:13" ht="12.75" hidden="1" outlineLevel="1" thickTop="1" thickBot="1">
      <c r="A1213" s="47" t="str">
        <f ca="1">OFFSET(Язык!$A$591,0,LANGUAGE)</f>
        <v>Акцизы и экспортные пошлины</v>
      </c>
      <c r="B1213" s="76">
        <f t="shared" si="983"/>
        <v>1</v>
      </c>
      <c r="C1213" s="50">
        <v>0</v>
      </c>
    </row>
    <row r="1214" spans="1:13" ht="12.75" hidden="1" outlineLevel="1" thickTop="1" thickBot="1">
      <c r="A1214" s="47" t="str">
        <f ca="1">OFFSET(Язык!$A$592,0,LANGUAGE)</f>
        <v>Импортная пошлина</v>
      </c>
      <c r="B1214" s="76">
        <f t="shared" si="983"/>
        <v>1</v>
      </c>
      <c r="C1214" s="50">
        <v>0</v>
      </c>
    </row>
    <row r="1215" spans="1:13" ht="12.75" hidden="1" outlineLevel="1" thickTop="1" thickBot="1">
      <c r="A1215" s="47" t="str">
        <f ca="1">OFFSET(Язык!$A$593,0,LANGUAGE)</f>
        <v>Подоходный налог</v>
      </c>
      <c r="B1215" s="76">
        <f t="shared" si="983"/>
        <v>1</v>
      </c>
      <c r="C1215" s="50">
        <v>0</v>
      </c>
    </row>
    <row r="1216" spans="1:13" ht="12.75" hidden="1" outlineLevel="1" thickTop="1" thickBot="1">
      <c r="A1216" s="47" t="str">
        <f ca="1">OFFSET(Язык!$A$594,0,LANGUAGE)</f>
        <v>Земельный налог</v>
      </c>
      <c r="B1216" s="76">
        <f t="shared" si="983"/>
        <v>1</v>
      </c>
      <c r="C1216" s="50">
        <v>0</v>
      </c>
    </row>
    <row r="1217" spans="1:13" ht="12.75" hidden="1" outlineLevel="1" thickTop="1" thickBot="1">
      <c r="A1217" s="47" t="str">
        <f ca="1">OFFSET(Язык!$A$595,0,LANGUAGE)</f>
        <v>Налог на имущество</v>
      </c>
      <c r="B1217" s="76">
        <f t="shared" si="983"/>
        <v>0.5</v>
      </c>
      <c r="C1217" s="50">
        <v>0.5</v>
      </c>
    </row>
    <row r="1218" spans="1:13" ht="12.75" hidden="1" outlineLevel="1" thickTop="1" thickBot="1">
      <c r="A1218" s="47" t="str">
        <f>A714</f>
        <v>Наименование налога</v>
      </c>
      <c r="B1218" s="76">
        <f t="shared" si="983"/>
        <v>1</v>
      </c>
      <c r="C1218" s="50">
        <v>0</v>
      </c>
    </row>
    <row r="1219" spans="1:13" ht="12.75" hidden="1" outlineLevel="1" thickTop="1" thickBot="1">
      <c r="A1219" s="47" t="str">
        <f>A727</f>
        <v>Наименование налога</v>
      </c>
      <c r="B1219" s="76">
        <f t="shared" si="983"/>
        <v>1</v>
      </c>
      <c r="C1219" s="50">
        <v>0</v>
      </c>
    </row>
    <row r="1220" spans="1:13" ht="12.75" hidden="1" outlineLevel="1" thickTop="1" thickBot="1"/>
    <row r="1221" spans="1:13" ht="12.75" hidden="1" outlineLevel="1" thickTop="1" thickBot="1">
      <c r="A1221" s="2" t="str">
        <f ca="1">OFFSET(Язык!$A$623,0,LANGUAGE)</f>
        <v>Ставка налога на доходы физических лиц</v>
      </c>
      <c r="B1221" s="50">
        <v>0.13</v>
      </c>
      <c r="G1221" s="26">
        <f t="shared" ref="G1221:J1221" ca="1" si="984">(G305+G256)*$B1221</f>
        <v>10257</v>
      </c>
      <c r="H1221" s="26">
        <f t="shared" si="984"/>
        <v>5748.6</v>
      </c>
      <c r="I1221" s="26">
        <f t="shared" ca="1" si="984"/>
        <v>49643.880000000005</v>
      </c>
      <c r="J1221" s="26">
        <f t="shared" ca="1" si="984"/>
        <v>54608.268000000004</v>
      </c>
      <c r="K1221" s="26">
        <f t="shared" ref="K1221" ca="1" si="985">(K305+K256)*$B1221</f>
        <v>60069.094800000006</v>
      </c>
      <c r="L1221" s="26"/>
      <c r="M1221" s="30">
        <f ca="1">SUM(F1221:K1221)</f>
        <v>180326.84280000004</v>
      </c>
    </row>
    <row r="1222" spans="1:13" ht="12.75" hidden="1" outlineLevel="1" thickTop="1" thickBot="1"/>
    <row r="1223" spans="1:13" ht="12.75" hidden="1" outlineLevel="1" thickTop="1" thickBot="1">
      <c r="A1223" s="47" t="str">
        <f ca="1">OFFSET(Язык!$A$596,0,LANGUAGE)</f>
        <v>Налоговые поступления в федеральный бюджет</v>
      </c>
      <c r="C1223" s="6" t="str">
        <f ca="1">CUR_Main</f>
        <v>$</v>
      </c>
      <c r="F1223" s="26">
        <f t="shared" ref="F1223:J1223" ca="1" si="986">F691*$B1210+F736*$B1211+F699*$B1212+F673*$B1213+F674*$B1214+F1221*$B1215+F706*$B1216+F721*$B1217+F714*$B1218+F727*$B1219</f>
        <v>0</v>
      </c>
      <c r="G1223" s="26">
        <f t="shared" ca="1" si="986"/>
        <v>131903.34077380953</v>
      </c>
      <c r="H1223" s="26">
        <f t="shared" ca="1" si="986"/>
        <v>-27209.206659226063</v>
      </c>
      <c r="I1223" s="26">
        <f t="shared" ca="1" si="986"/>
        <v>442514.19371279783</v>
      </c>
      <c r="J1223" s="26">
        <f t="shared" ca="1" si="986"/>
        <v>489601.1564062502</v>
      </c>
      <c r="K1223" s="26">
        <f t="shared" ref="K1223" ca="1" si="987">K691*$B1210+K736*$B1211+K699*$B1212+K673*$B1213+K674*$B1214+K1221*$B1215+K706*$B1216+K721*$B1217+K714*$B1218+K727*$B1219</f>
        <v>541113.49330803601</v>
      </c>
      <c r="L1223" s="26"/>
      <c r="M1223" s="30">
        <f ca="1">SUM(F1223:K1223)</f>
        <v>1577922.9775416674</v>
      </c>
    </row>
    <row r="1224" spans="1:13" ht="12.75" hidden="1" outlineLevel="1" thickTop="1" thickBot="1">
      <c r="A1224" s="47" t="str">
        <f ca="1">OFFSET(Язык!$A$597,0,LANGUAGE)</f>
        <v>Налоговые поступления в территориальный бюджет</v>
      </c>
      <c r="C1224" s="6" t="str">
        <f ca="1">CUR_Main</f>
        <v>$</v>
      </c>
      <c r="F1224" s="26">
        <f t="shared" ref="F1224:J1224" ca="1" si="988">F691*$C1210+F736*$C1211+F699*$C1212+F673*$C1213+F674*$C1214+F1221*$C1215+F706*$C1216+F721*$C1217+F714*$C1218+F727*$C1219</f>
        <v>0</v>
      </c>
      <c r="G1224" s="26">
        <f t="shared" ca="1" si="988"/>
        <v>87363.430654761905</v>
      </c>
      <c r="H1224" s="26">
        <f t="shared" ca="1" si="988"/>
        <v>168686.69880208341</v>
      </c>
      <c r="I1224" s="26">
        <f t="shared" ca="1" si="988"/>
        <v>158431.44785863109</v>
      </c>
      <c r="J1224" s="26">
        <f t="shared" ca="1" si="988"/>
        <v>200981.9953937502</v>
      </c>
      <c r="K1224" s="26">
        <f t="shared" ref="K1224" ca="1" si="989">K691*$C1210+K736*$C1211+K699*$C1212+K673*$C1213+K674*$C1214+K1221*$C1215+K706*$C1216+K721*$C1217+K714*$C1218+K727*$C1219</f>
        <v>245776.7576005359</v>
      </c>
      <c r="L1224" s="26"/>
      <c r="M1224" s="30">
        <f ca="1">SUM(F1224:K1224)</f>
        <v>861240.33030976239</v>
      </c>
    </row>
    <row r="1225" spans="1:13" ht="12.75" hidden="1" outlineLevel="1" thickTop="1" thickBot="1"/>
    <row r="1226" spans="1:13" ht="12.75" hidden="1" outlineLevel="1" thickTop="1" thickBot="1">
      <c r="A1226" s="32" t="str">
        <f ca="1">OFFSET(Язык!$A$598,0,LANGUAGE)</f>
        <v>Бюджетное финансирование</v>
      </c>
    </row>
    <row r="1227" spans="1:13" ht="12.75" hidden="1" outlineLevel="1" thickTop="1" thickBot="1">
      <c r="B1227" s="6" t="str">
        <f ca="1">OFFSET(Язык!$A$616,0,LANGUAGE)</f>
        <v>федеральный</v>
      </c>
      <c r="C1227" s="6" t="str">
        <f ca="1">OFFSET(Язык!$A$617,0,LANGUAGE)</f>
        <v>территории</v>
      </c>
    </row>
    <row r="1228" spans="1:13" ht="12.75" hidden="1" outlineLevel="1" thickTop="1" thickBot="1">
      <c r="A1228" s="2" t="str">
        <f ca="1">OFFSET(Язык!$A$883,0,LANGUAGE)</f>
        <v>Доля бюджета в целевом финансировании</v>
      </c>
      <c r="B1228" s="50">
        <v>0</v>
      </c>
      <c r="C1228" s="50">
        <v>0</v>
      </c>
    </row>
    <row r="1229" spans="1:13" ht="12.75" hidden="1" outlineLevel="1" thickTop="1" thickBot="1"/>
    <row r="1230" spans="1:13" ht="12.75" hidden="1" outlineLevel="1" thickTop="1" thickBot="1">
      <c r="A1230" s="37" t="str">
        <f ca="1">OFFSET(Язык!$A$599,0,LANGUAGE)</f>
        <v>Федеральный бюджет</v>
      </c>
    </row>
    <row r="1231" spans="1:13" ht="12.75" hidden="1" outlineLevel="1" thickTop="1" thickBot="1">
      <c r="A1231" s="47" t="str">
        <f ca="1">OFFSET(Язык!$A$600,0,LANGUAGE)</f>
        <v xml:space="preserve">    целевое финансирование</v>
      </c>
      <c r="C1231" s="6" t="str">
        <f ca="1">CUR_Main</f>
        <v>$</v>
      </c>
      <c r="F1231" s="26">
        <f t="shared" ref="F1231:J1231" si="990">F605*$B$1228</f>
        <v>0</v>
      </c>
      <c r="G1231" s="26">
        <f t="shared" si="990"/>
        <v>0</v>
      </c>
      <c r="H1231" s="26">
        <f t="shared" si="990"/>
        <v>0</v>
      </c>
      <c r="I1231" s="26">
        <f t="shared" si="990"/>
        <v>0</v>
      </c>
      <c r="J1231" s="26">
        <f t="shared" si="990"/>
        <v>0</v>
      </c>
      <c r="K1231" s="26">
        <f t="shared" ref="K1231" si="991">K605*$B$1228</f>
        <v>0</v>
      </c>
      <c r="M1231" s="30">
        <f>SUM(F1231:K1231)</f>
        <v>0</v>
      </c>
    </row>
    <row r="1232" spans="1:13" ht="12.75" hidden="1" outlineLevel="1" thickTop="1" thickBot="1">
      <c r="A1232" s="47" t="str">
        <f ca="1">OFFSET(Язык!$A$601,0,LANGUAGE)</f>
        <v xml:space="preserve">    кредиты выданные</v>
      </c>
      <c r="C1232" s="6" t="str">
        <f ca="1">CUR_Main</f>
        <v>$</v>
      </c>
      <c r="F1232" s="26">
        <f t="shared" ref="F1232:J1232" si="992">SUMIF($D611:$D628,"*3/1_01*",F611:F628)+SUMIF($D611:$D628,"*3/2_01*",F611:F628)*F$98</f>
        <v>0</v>
      </c>
      <c r="G1232" s="26">
        <f t="shared" si="992"/>
        <v>0</v>
      </c>
      <c r="H1232" s="26">
        <f t="shared" si="992"/>
        <v>0</v>
      </c>
      <c r="I1232" s="26">
        <f t="shared" si="992"/>
        <v>0</v>
      </c>
      <c r="J1232" s="26">
        <f t="shared" si="992"/>
        <v>0</v>
      </c>
      <c r="K1232" s="26">
        <f t="shared" ref="K1232" si="993">SUMIF($D611:$D628,"*3/1_01*",K611:K628)+SUMIF($D611:$D628,"*3/2_01*",K611:K628)*K$98</f>
        <v>0</v>
      </c>
      <c r="L1232" s="26"/>
      <c r="M1232" s="30">
        <f>SUM(F1232:K1232)</f>
        <v>0</v>
      </c>
    </row>
    <row r="1233" spans="1:13" ht="12.75" hidden="1" outlineLevel="1" thickTop="1" thickBot="1">
      <c r="A1233" s="47" t="str">
        <f ca="1">OFFSET(Язык!$A$602,0,LANGUAGE)</f>
        <v xml:space="preserve">    возврат кредитов</v>
      </c>
      <c r="C1233" s="6" t="str">
        <f ca="1">CUR_Main</f>
        <v>$</v>
      </c>
      <c r="F1233" s="26">
        <f t="shared" ref="F1233:J1233" si="994">SUMIF($D611:$D628,"*3/1_02*",F611:F628)+SUMIF($D611:$D628,"*3/2_02*",F611:F628)*F$98</f>
        <v>0</v>
      </c>
      <c r="G1233" s="26">
        <f t="shared" si="994"/>
        <v>0</v>
      </c>
      <c r="H1233" s="26">
        <f t="shared" si="994"/>
        <v>0</v>
      </c>
      <c r="I1233" s="26">
        <f t="shared" si="994"/>
        <v>0</v>
      </c>
      <c r="J1233" s="26">
        <f t="shared" si="994"/>
        <v>0</v>
      </c>
      <c r="K1233" s="26">
        <f t="shared" ref="K1233" si="995">SUMIF($D611:$D628,"*3/1_02*",K611:K628)+SUMIF($D611:$D628,"*3/2_02*",K611:K628)*K$98</f>
        <v>0</v>
      </c>
      <c r="L1233" s="26"/>
      <c r="M1233" s="30">
        <f>SUM(F1233:K1233)</f>
        <v>0</v>
      </c>
    </row>
    <row r="1234" spans="1:13" ht="12.75" hidden="1" outlineLevel="1" thickTop="1" thickBot="1">
      <c r="A1234" s="47" t="str">
        <f ca="1">OFFSET(Язык!$A$603,0,LANGUAGE)</f>
        <v xml:space="preserve">    проценты по выданным кредитам</v>
      </c>
      <c r="C1234" s="6" t="str">
        <f ca="1">CUR_Main</f>
        <v>$</v>
      </c>
      <c r="F1234" s="26">
        <f t="shared" ref="F1234:J1234" si="996">SUMIF($D611:$D628,"*3/1_03",F611:F628)+SUMIF($D611:$D628,"*3/2_03*",F611:F628)*F$98</f>
        <v>0</v>
      </c>
      <c r="G1234" s="26">
        <f t="shared" si="996"/>
        <v>0</v>
      </c>
      <c r="H1234" s="26">
        <f t="shared" si="996"/>
        <v>0</v>
      </c>
      <c r="I1234" s="26">
        <f t="shared" si="996"/>
        <v>0</v>
      </c>
      <c r="J1234" s="26">
        <f t="shared" si="996"/>
        <v>0</v>
      </c>
      <c r="K1234" s="26">
        <f t="shared" ref="K1234" si="997">SUMIF($D611:$D628,"*3/1_03",K611:K628)+SUMIF($D611:$D628,"*3/2_03*",K611:K628)*K$98</f>
        <v>0</v>
      </c>
      <c r="L1234" s="26"/>
      <c r="M1234" s="30">
        <f>SUM(F1234:K1234)</f>
        <v>0</v>
      </c>
    </row>
    <row r="1235" spans="1:13" ht="12.75" hidden="1" outlineLevel="1" thickTop="1" thickBot="1">
      <c r="A1235" s="37" t="str">
        <f ca="1">OFFSET(Язык!$A$604,0,LANGUAGE)</f>
        <v>Территориальный бюджет</v>
      </c>
    </row>
    <row r="1236" spans="1:13" ht="12.75" hidden="1" outlineLevel="1" thickTop="1" thickBot="1">
      <c r="A1236" s="47" t="str">
        <f ca="1">OFFSET(Язык!$A$605,0,LANGUAGE)</f>
        <v xml:space="preserve">    целевое финансирование</v>
      </c>
      <c r="C1236" s="6" t="str">
        <f ca="1">CUR_Main</f>
        <v>$</v>
      </c>
      <c r="F1236" s="2">
        <f t="shared" ref="F1236:J1236" si="998">F605*$C$1228</f>
        <v>0</v>
      </c>
      <c r="G1236" s="2">
        <f t="shared" si="998"/>
        <v>0</v>
      </c>
      <c r="H1236" s="2">
        <f t="shared" si="998"/>
        <v>0</v>
      </c>
      <c r="I1236" s="2">
        <f t="shared" si="998"/>
        <v>0</v>
      </c>
      <c r="J1236" s="2">
        <f t="shared" si="998"/>
        <v>0</v>
      </c>
      <c r="K1236" s="2">
        <f t="shared" ref="K1236" si="999">K605*$C$1228</f>
        <v>0</v>
      </c>
      <c r="M1236" s="30">
        <f>SUM(F1236:K1236)</f>
        <v>0</v>
      </c>
    </row>
    <row r="1237" spans="1:13" ht="12.75" hidden="1" outlineLevel="1" thickTop="1" thickBot="1">
      <c r="A1237" s="47" t="str">
        <f ca="1">OFFSET(Язык!$A$606,0,LANGUAGE)</f>
        <v xml:space="preserve">    кредиты выданные</v>
      </c>
      <c r="C1237" s="6" t="str">
        <f ca="1">CUR_Main</f>
        <v>$</v>
      </c>
      <c r="F1237" s="26">
        <f t="shared" ref="F1237:J1237" si="1000">SUMIF($D611:$D628,"*4/1_01*",F611:F628)+SUMIF($D611:$D628,"*4/2_01*",F611:F628)*F$98</f>
        <v>0</v>
      </c>
      <c r="G1237" s="26">
        <f t="shared" si="1000"/>
        <v>0</v>
      </c>
      <c r="H1237" s="26">
        <f t="shared" si="1000"/>
        <v>0</v>
      </c>
      <c r="I1237" s="26">
        <f t="shared" si="1000"/>
        <v>0</v>
      </c>
      <c r="J1237" s="26">
        <f t="shared" si="1000"/>
        <v>0</v>
      </c>
      <c r="K1237" s="26">
        <f t="shared" ref="K1237" si="1001">SUMIF($D611:$D628,"*4/1_01*",K611:K628)+SUMIF($D611:$D628,"*4/2_01*",K611:K628)*K$98</f>
        <v>0</v>
      </c>
      <c r="L1237" s="26"/>
      <c r="M1237" s="30">
        <f>SUM(F1237:K1237)</f>
        <v>0</v>
      </c>
    </row>
    <row r="1238" spans="1:13" ht="12.75" hidden="1" outlineLevel="1" thickTop="1" thickBot="1">
      <c r="A1238" s="47" t="str">
        <f ca="1">OFFSET(Язык!$A$607,0,LANGUAGE)</f>
        <v xml:space="preserve">    возврат кредитов</v>
      </c>
      <c r="C1238" s="6" t="str">
        <f ca="1">CUR_Main</f>
        <v>$</v>
      </c>
      <c r="F1238" s="26">
        <f t="shared" ref="F1238:J1238" si="1002">SUMIF($D611:$D628,"*4/1_02*",F611:F628)+SUMIF($D611:$D628,"*4/2_02*",F611:F628)*F$98</f>
        <v>0</v>
      </c>
      <c r="G1238" s="26">
        <f t="shared" si="1002"/>
        <v>0</v>
      </c>
      <c r="H1238" s="26">
        <f t="shared" si="1002"/>
        <v>0</v>
      </c>
      <c r="I1238" s="26">
        <f t="shared" si="1002"/>
        <v>0</v>
      </c>
      <c r="J1238" s="26">
        <f t="shared" si="1002"/>
        <v>0</v>
      </c>
      <c r="K1238" s="26">
        <f t="shared" ref="K1238" si="1003">SUMIF($D611:$D628,"*4/1_02*",K611:K628)+SUMIF($D611:$D628,"*4/2_02*",K611:K628)*K$98</f>
        <v>0</v>
      </c>
      <c r="L1238" s="26"/>
      <c r="M1238" s="30">
        <f>SUM(F1238:K1238)</f>
        <v>0</v>
      </c>
    </row>
    <row r="1239" spans="1:13" ht="12.75" hidden="1" outlineLevel="1" thickTop="1" thickBot="1">
      <c r="A1239" s="47" t="str">
        <f ca="1">OFFSET(Язык!$A$608,0,LANGUAGE)</f>
        <v xml:space="preserve">    проценты по выданным кредитам</v>
      </c>
      <c r="C1239" s="6" t="str">
        <f ca="1">CUR_Main</f>
        <v>$</v>
      </c>
      <c r="F1239" s="26">
        <f t="shared" ref="F1239:J1239" si="1004">SUMIF($D611:$D628,"*4/1_03*",F611:F628)+SUMIF($D611:$D628,"*4/2_03*",F611:F628)*F$98</f>
        <v>0</v>
      </c>
      <c r="G1239" s="26">
        <f t="shared" si="1004"/>
        <v>0</v>
      </c>
      <c r="H1239" s="26">
        <f t="shared" si="1004"/>
        <v>0</v>
      </c>
      <c r="I1239" s="26">
        <f t="shared" si="1004"/>
        <v>0</v>
      </c>
      <c r="J1239" s="26">
        <f t="shared" si="1004"/>
        <v>0</v>
      </c>
      <c r="K1239" s="26">
        <f t="shared" ref="K1239" si="1005">SUMIF($D611:$D628,"*4/1_03*",K611:K628)+SUMIF($D611:$D628,"*4/2_03*",K611:K628)*K$98</f>
        <v>0</v>
      </c>
      <c r="L1239" s="26"/>
      <c r="M1239" s="30">
        <f>SUM(F1239:K1239)</f>
        <v>0</v>
      </c>
    </row>
    <row r="1240" spans="1:13" ht="12.75" hidden="1" outlineLevel="1" thickTop="1" thickBot="1"/>
    <row r="1241" spans="1:13" ht="12.75" hidden="1" outlineLevel="1" thickTop="1" thickBot="1">
      <c r="A1241" s="32" t="str">
        <f ca="1">OFFSET(Язык!$A$609,0,LANGUAGE)</f>
        <v>Доходы бюджетов</v>
      </c>
    </row>
    <row r="1242" spans="1:13" ht="12.75" hidden="1" outlineLevel="1" thickTop="1" thickBot="1"/>
    <row r="1243" spans="1:13" ht="12.75" hidden="1" outlineLevel="1" thickTop="1" thickBot="1">
      <c r="A1243" s="47" t="str">
        <f ca="1">OFFSET(Язык!$A$610,0,LANGUAGE)</f>
        <v>Суммарные денежные потоки федерального бюджета</v>
      </c>
      <c r="C1243" s="6" t="str">
        <f ca="1">CUR_Main</f>
        <v>$</v>
      </c>
      <c r="F1243" s="26">
        <f t="shared" ref="F1243:J1243" ca="1" si="1006">F1223-F1232+F1233+F1234-F1231</f>
        <v>0</v>
      </c>
      <c r="G1243" s="26">
        <f t="shared" ca="1" si="1006"/>
        <v>131903.34077380953</v>
      </c>
      <c r="H1243" s="26">
        <f t="shared" ca="1" si="1006"/>
        <v>-27209.206659226063</v>
      </c>
      <c r="I1243" s="26">
        <f t="shared" ca="1" si="1006"/>
        <v>442514.19371279783</v>
      </c>
      <c r="J1243" s="26">
        <f t="shared" ca="1" si="1006"/>
        <v>489601.1564062502</v>
      </c>
      <c r="K1243" s="26">
        <f t="shared" ref="K1243" ca="1" si="1007">K1223-K1232+K1233+K1234-K1231</f>
        <v>541113.49330803601</v>
      </c>
      <c r="L1243" s="26"/>
      <c r="M1243" s="30">
        <f ca="1">SUM(F1243:K1243)</f>
        <v>1577922.9775416674</v>
      </c>
    </row>
    <row r="1244" spans="1:13" ht="12.75" hidden="1" outlineLevel="1" thickTop="1" thickBot="1">
      <c r="A1244" s="47" t="str">
        <f ca="1">OFFSET(Язык!$A$611,0,LANGUAGE)</f>
        <v>Суммарные денежные потоки территориального бюджета</v>
      </c>
      <c r="C1244" s="6" t="str">
        <f ca="1">CUR_Main</f>
        <v>$</v>
      </c>
      <c r="F1244" s="26">
        <f t="shared" ref="F1244:J1244" ca="1" si="1008">F1224-F1237+F1238+F1239-F1236</f>
        <v>0</v>
      </c>
      <c r="G1244" s="26">
        <f t="shared" ca="1" si="1008"/>
        <v>87363.430654761905</v>
      </c>
      <c r="H1244" s="26">
        <f t="shared" ca="1" si="1008"/>
        <v>168686.69880208341</v>
      </c>
      <c r="I1244" s="26">
        <f t="shared" ca="1" si="1008"/>
        <v>158431.44785863109</v>
      </c>
      <c r="J1244" s="26">
        <f t="shared" ca="1" si="1008"/>
        <v>200981.9953937502</v>
      </c>
      <c r="K1244" s="26">
        <f t="shared" ref="K1244" ca="1" si="1009">K1224-K1237+K1238+K1239-K1236</f>
        <v>245776.7576005359</v>
      </c>
      <c r="L1244" s="26"/>
      <c r="M1244" s="30">
        <f ca="1">SUM(F1244:K1244)</f>
        <v>861240.33030976239</v>
      </c>
    </row>
    <row r="1245" spans="1:13" ht="12.75" hidden="1" outlineLevel="1" thickTop="1" thickBot="1"/>
    <row r="1246" spans="1:13" ht="12.75" hidden="1" outlineLevel="1" collapsed="1" thickTop="1" thickBot="1">
      <c r="A1246" s="47" t="str">
        <f ca="1">OFFSET(Язык!$A$612,0,LANGUAGE)</f>
        <v>Ставка дисконтирования</v>
      </c>
      <c r="B1246" s="50">
        <f>B1118</f>
        <v>0.14000000000000001</v>
      </c>
    </row>
    <row r="1247" spans="1:13" ht="12.75" hidden="1" outlineLevel="2" thickTop="1" thickBot="1">
      <c r="A1247" s="47" t="str">
        <f ca="1">OFFSET(Язык!$A$554,0,LANGUAGE)</f>
        <v xml:space="preserve">    коэффициент дисконта</v>
      </c>
      <c r="F1247" s="100">
        <v>1</v>
      </c>
      <c r="G1247" s="100">
        <f t="shared" ref="G1247:K1247" si="1010">F1247*POWER(1+$B1246,PRJ_Step/360)</f>
        <v>1.1400000000000001</v>
      </c>
      <c r="H1247" s="100">
        <f t="shared" si="1010"/>
        <v>1.2996000000000003</v>
      </c>
      <c r="I1247" s="100">
        <f t="shared" si="1010"/>
        <v>1.4815440000000004</v>
      </c>
      <c r="J1247" s="100">
        <f t="shared" si="1010"/>
        <v>1.6889601600000006</v>
      </c>
      <c r="K1247" s="100">
        <f t="shared" si="1010"/>
        <v>1.9254145824000009</v>
      </c>
    </row>
    <row r="1248" spans="1:13" ht="12.75" hidden="1" outlineLevel="2" thickTop="1" thickBot="1">
      <c r="A1248" s="47" t="str">
        <f ca="1">OFFSET(Язык!$A$618,0,LANGUAGE) &amp; IF(CalcMethod=1,OFFSET(Язык!$A$877,0,LANGUAGE),"")</f>
        <v xml:space="preserve">    дисконтированные потоки федерального бюджета</v>
      </c>
      <c r="F1248" s="26">
        <f t="shared" ref="F1248:J1248" ca="1" si="1011">F1243/F1247*IF(CalcMethod=1,IF($B$1117=1,F$93,F$103),1)</f>
        <v>0</v>
      </c>
      <c r="G1248" s="26">
        <f t="shared" ca="1" si="1011"/>
        <v>115704.68488930659</v>
      </c>
      <c r="H1248" s="26">
        <f t="shared" ca="1" si="1011"/>
        <v>-20936.600999712264</v>
      </c>
      <c r="I1248" s="26">
        <f t="shared" ca="1" si="1011"/>
        <v>298684.47627123981</v>
      </c>
      <c r="J1248" s="26">
        <f t="shared" ca="1" si="1011"/>
        <v>289883.18848577817</v>
      </c>
      <c r="K1248" s="26">
        <f t="shared" ref="K1248" ca="1" si="1012">K1243/K1247*IF(CalcMethod=1,IF($B$1117=1,K$93,K$103),1)</f>
        <v>281037.39228646853</v>
      </c>
      <c r="L1248" s="26"/>
      <c r="M1248" s="30">
        <f ca="1">SUM(F1248:K1248)</f>
        <v>964373.14093308081</v>
      </c>
    </row>
    <row r="1249" spans="1:13" ht="12.75" hidden="1" outlineLevel="2" thickTop="1" thickBot="1">
      <c r="A1249" s="47" t="str">
        <f ca="1">OFFSET(Язык!$A$619,0,LANGUAGE) &amp; IF(CalcMethod=1,OFFSET(Язык!$A$877,0,LANGUAGE),"")</f>
        <v xml:space="preserve">    дисконтированные потоки территориального бюджета</v>
      </c>
      <c r="F1249" s="26">
        <f t="shared" ref="F1249:J1249" ca="1" si="1013">F1244/F1247*IF(CalcMethod=1,IF($B$1117=1,F$93,F$103),1)</f>
        <v>0</v>
      </c>
      <c r="G1249" s="26">
        <f t="shared" ca="1" si="1013"/>
        <v>76634.588293650784</v>
      </c>
      <c r="H1249" s="26">
        <f t="shared" ca="1" si="1013"/>
        <v>129798.93721305276</v>
      </c>
      <c r="I1249" s="26">
        <f t="shared" ca="1" si="1013"/>
        <v>106936.71457522087</v>
      </c>
      <c r="J1249" s="26">
        <f t="shared" ca="1" si="1013"/>
        <v>118997.47557914577</v>
      </c>
      <c r="K1249" s="26">
        <f t="shared" ref="K1249" ca="1" si="1014">K1244/K1247*IF(CalcMethod=1,IF($B$1117=1,K$93,K$103),1)</f>
        <v>127648.74632567642</v>
      </c>
      <c r="L1249" s="26"/>
      <c r="M1249" s="30">
        <f ca="1">SUM(F1249:K1249)</f>
        <v>560016.46198674664</v>
      </c>
    </row>
    <row r="1250" spans="1:13" ht="12.75" hidden="1" outlineLevel="1" thickTop="1" thickBot="1">
      <c r="A1250" s="47" t="str">
        <f ca="1">OFFSET(Язык!$A$613,0,LANGUAGE)</f>
        <v>Чистый приведенный доход:</v>
      </c>
    </row>
    <row r="1251" spans="1:13" ht="12.75" hidden="1" outlineLevel="1" thickTop="1" thickBot="1">
      <c r="A1251" s="47" t="str">
        <f ca="1">OFFSET(Язык!$A$614,0,LANGUAGE)</f>
        <v xml:space="preserve">    федерального бюджета</v>
      </c>
      <c r="B1251" s="53">
        <f ca="1">M1248</f>
        <v>964373.14093308081</v>
      </c>
      <c r="C1251" s="63" t="str">
        <f ca="1">CUR_Main</f>
        <v>$</v>
      </c>
    </row>
    <row r="1252" spans="1:13" ht="12.75" hidden="1" outlineLevel="1" thickTop="1" thickBot="1">
      <c r="A1252" s="162" t="str">
        <f ca="1">OFFSET(Язык!$A$615,0,LANGUAGE)</f>
        <v xml:space="preserve">    территориального бюджета</v>
      </c>
      <c r="B1252" s="164">
        <f ca="1">M1249</f>
        <v>560016.46198674664</v>
      </c>
      <c r="C1252" s="86" t="str">
        <f ca="1">CUR_Main</f>
        <v>$</v>
      </c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1:13" ht="12.75" hidden="1" outlineLevel="1" thickTop="1" thickBot="1"/>
    <row r="1254" spans="1:13" ht="12.75" hidden="1" outlineLevel="1" thickTop="1" thickBot="1"/>
    <row r="1255" spans="1:13" ht="15.95" customHeight="1" thickTop="1" thickBot="1">
      <c r="A1255" s="18" t="str">
        <f ca="1">OFFSET(Язык!$A$570,0,LANGUAGE)</f>
        <v>ОСНОВНЫЕ ПОКАЗАТЕЛИ ПРОЕКТА</v>
      </c>
      <c r="B1255" s="23"/>
      <c r="C1255" s="19"/>
      <c r="D1255" s="18"/>
      <c r="E1255" s="18"/>
      <c r="F1255" s="19" t="str">
        <f t="shared" ref="F1255:K1255" si="1015">PeriodTitle</f>
        <v>"0"</v>
      </c>
      <c r="G1255" s="19">
        <f t="shared" si="1015"/>
        <v>2013</v>
      </c>
      <c r="H1255" s="19">
        <f t="shared" si="1015"/>
        <v>2014</v>
      </c>
      <c r="I1255" s="19">
        <f t="shared" si="1015"/>
        <v>2015</v>
      </c>
      <c r="J1255" s="19">
        <f t="shared" si="1015"/>
        <v>2016</v>
      </c>
      <c r="K1255" s="19">
        <f t="shared" si="1015"/>
        <v>2017</v>
      </c>
      <c r="L1255" s="19"/>
      <c r="M1255" s="23" t="str">
        <f ca="1">OFFSET(Язык!$A$77,0,LANGUAGE)</f>
        <v>ИТОГО</v>
      </c>
    </row>
    <row r="1256" spans="1:13" ht="12" outlineLevel="1" thickTop="1"/>
    <row r="1257" spans="1:13" outlineLevel="1">
      <c r="A1257" s="2" t="str">
        <f ca="1">OFFSET(Язык!$A$571,0,LANGUAGE)</f>
        <v>Выручка от реализации (без НДС)</v>
      </c>
      <c r="C1257" s="6">
        <f>CUR_Report</f>
        <v>0</v>
      </c>
      <c r="G1257" s="26">
        <f t="shared" ref="G1257:J1257" si="1016">G750</f>
        <v>2272098.2142857141</v>
      </c>
      <c r="H1257" s="26">
        <f t="shared" si="1016"/>
        <v>4998616.0714285718</v>
      </c>
      <c r="I1257" s="26">
        <f t="shared" si="1016"/>
        <v>5498477.6785714291</v>
      </c>
      <c r="J1257" s="26">
        <f t="shared" si="1016"/>
        <v>6048325.4464285728</v>
      </c>
      <c r="K1257" s="26">
        <f t="shared" ref="K1257" si="1017">K750</f>
        <v>6653157.991071431</v>
      </c>
      <c r="M1257" s="27">
        <f>SUM(F1257:K1257)</f>
        <v>25470675.401785716</v>
      </c>
    </row>
    <row r="1258" spans="1:13" outlineLevel="1">
      <c r="A1258" s="2" t="str">
        <f ca="1">OFFSET(Язык!$A$572,0,LANGUAGE)</f>
        <v>Прибыль до налога, процентов и амортизации (EBITDA)</v>
      </c>
      <c r="C1258" s="6">
        <f>CUR_Report</f>
        <v>0</v>
      </c>
      <c r="G1258" s="26">
        <f t="shared" ref="G1258:J1258" ca="1" si="1018">G767+G763+G757</f>
        <v>551769.03571428568</v>
      </c>
      <c r="H1258" s="26">
        <f t="shared" ca="1" si="1018"/>
        <v>1695953.2151785719</v>
      </c>
      <c r="I1258" s="26">
        <f t="shared" ca="1" si="1018"/>
        <v>1426326.0569642866</v>
      </c>
      <c r="J1258" s="26">
        <f t="shared" ca="1" si="1018"/>
        <v>1580338.9041785728</v>
      </c>
      <c r="K1258" s="26">
        <f t="shared" ref="K1258" ca="1" si="1019">K767+K763+K757</f>
        <v>1749085.7387928583</v>
      </c>
      <c r="M1258" s="27">
        <f ca="1">SUM(F1258:K1258)</f>
        <v>7003472.9508285755</v>
      </c>
    </row>
    <row r="1259" spans="1:13" outlineLevel="1">
      <c r="A1259" s="2" t="str">
        <f ca="1">OFFSET(Язык!$A$573,0,LANGUAGE)</f>
        <v>Прибыль до налога и процентов по кредитам (EBIT)</v>
      </c>
      <c r="C1259" s="6">
        <f>CUR_Report</f>
        <v>0</v>
      </c>
      <c r="G1259" s="26">
        <f t="shared" ref="G1259:J1259" ca="1" si="1020">G767+G763</f>
        <v>551769.03571428568</v>
      </c>
      <c r="H1259" s="26">
        <f t="shared" ca="1" si="1020"/>
        <v>1392636.2508928576</v>
      </c>
      <c r="I1259" s="26">
        <f t="shared" ca="1" si="1020"/>
        <v>1123009.0926785723</v>
      </c>
      <c r="J1259" s="26">
        <f t="shared" ca="1" si="1020"/>
        <v>1277021.9398928585</v>
      </c>
      <c r="K1259" s="26">
        <f t="shared" ref="K1259" ca="1" si="1021">K767+K763</f>
        <v>1445768.774507144</v>
      </c>
      <c r="M1259" s="27">
        <f ca="1">SUM(F1259:K1259)</f>
        <v>5790205.0936857183</v>
      </c>
    </row>
    <row r="1260" spans="1:13" outlineLevel="1">
      <c r="A1260" s="2" t="str">
        <f ca="1">OFFSET(Язык!$A$574,0,LANGUAGE)</f>
        <v>Чистая прибыль</v>
      </c>
      <c r="C1260" s="6">
        <f>CUR_Report</f>
        <v>0</v>
      </c>
      <c r="G1260" s="26">
        <f t="shared" ref="G1260:J1261" ca="1" si="1022">G769</f>
        <v>441415.22857142857</v>
      </c>
      <c r="H1260" s="26">
        <f t="shared" ca="1" si="1022"/>
        <v>788637.000714286</v>
      </c>
      <c r="I1260" s="26">
        <f t="shared" ca="1" si="1022"/>
        <v>681575.27414285787</v>
      </c>
      <c r="J1260" s="26">
        <f t="shared" ca="1" si="1022"/>
        <v>913425.5519142868</v>
      </c>
      <c r="K1260" s="26">
        <f t="shared" ref="K1260" ca="1" si="1023">K769</f>
        <v>1156615.0196057153</v>
      </c>
      <c r="M1260" s="27">
        <f ca="1">SUM(F1260:K1260)</f>
        <v>3981668.0749485749</v>
      </c>
    </row>
    <row r="1261" spans="1:13" outlineLevel="1">
      <c r="A1261" s="2" t="str">
        <f ca="1">OFFSET(Язык!$A$575,0,LANGUAGE)</f>
        <v>Дивиденды</v>
      </c>
      <c r="C1261" s="6">
        <f>CUR_Report</f>
        <v>0</v>
      </c>
      <c r="G1261" s="26">
        <f t="shared" ca="1" si="1022"/>
        <v>0</v>
      </c>
      <c r="H1261" s="26">
        <f t="shared" ca="1" si="1022"/>
        <v>0</v>
      </c>
      <c r="I1261" s="26">
        <f t="shared" ca="1" si="1022"/>
        <v>0</v>
      </c>
      <c r="J1261" s="26">
        <f t="shared" ca="1" si="1022"/>
        <v>0</v>
      </c>
      <c r="K1261" s="26">
        <f t="shared" ref="K1261" ca="1" si="1024">K770</f>
        <v>0</v>
      </c>
      <c r="M1261" s="27">
        <f ca="1">SUM(F1261:K1261)</f>
        <v>0</v>
      </c>
    </row>
    <row r="1262" spans="1:13" outlineLevel="1">
      <c r="A1262" s="43"/>
      <c r="B1262" s="41"/>
      <c r="C1262" s="41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1:13" outlineLevel="1"/>
    <row r="1264" spans="1:13" outlineLevel="1">
      <c r="A1264" s="2" t="str">
        <f ca="1">OFFSET(Язык!$A$576,0,LANGUAGE)</f>
        <v>Инвестиции в постоянные активы</v>
      </c>
      <c r="C1264" s="6">
        <f>CUR_Report</f>
        <v>0</v>
      </c>
      <c r="F1264" s="26">
        <f t="shared" ref="F1264:J1264" si="1025">F869+F870+F871</f>
        <v>0</v>
      </c>
      <c r="G1264" s="26">
        <f t="shared" si="1025"/>
        <v>-2906000</v>
      </c>
      <c r="H1264" s="26">
        <f t="shared" si="1025"/>
        <v>0</v>
      </c>
      <c r="I1264" s="26">
        <f t="shared" si="1025"/>
        <v>0</v>
      </c>
      <c r="J1264" s="26">
        <f t="shared" si="1025"/>
        <v>0</v>
      </c>
      <c r="K1264" s="26">
        <f t="shared" ref="K1264" si="1026">K869+K870+K871</f>
        <v>0</v>
      </c>
      <c r="M1264" s="27">
        <f>SUM(F1264:K1264)</f>
        <v>-2906000</v>
      </c>
    </row>
    <row r="1265" spans="1:13" outlineLevel="1">
      <c r="A1265" s="2" t="str">
        <f ca="1">OFFSET(Язык!$A$577,0,LANGUAGE)</f>
        <v>Инвестиции в чистый оборотный капитал</v>
      </c>
      <c r="C1265" s="6">
        <f>CUR_Report</f>
        <v>0</v>
      </c>
      <c r="F1265" s="26">
        <f t="shared" ref="F1265:J1265" si="1027">F872</f>
        <v>0</v>
      </c>
      <c r="G1265" s="26">
        <f t="shared" ca="1" si="1027"/>
        <v>84629.656944444461</v>
      </c>
      <c r="H1265" s="26">
        <f t="shared" ca="1" si="1027"/>
        <v>42207.909756944544</v>
      </c>
      <c r="I1265" s="26">
        <f t="shared" ca="1" si="1027"/>
        <v>12520.968371031806</v>
      </c>
      <c r="J1265" s="26">
        <f t="shared" ca="1" si="1027"/>
        <v>52013.98071706359</v>
      </c>
      <c r="K1265" s="26">
        <f t="shared" ref="K1265" ca="1" si="1028">K872</f>
        <v>54420.743654841237</v>
      </c>
      <c r="M1265" s="27">
        <f ca="1">SUM(F1265:K1265)</f>
        <v>245793.25944432564</v>
      </c>
    </row>
    <row r="1266" spans="1:13" outlineLevel="1">
      <c r="A1266" s="43"/>
      <c r="B1266" s="41"/>
      <c r="C1266" s="41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1:13" outlineLevel="1"/>
    <row r="1268" spans="1:13" outlineLevel="1">
      <c r="A1268" s="2" t="str">
        <f ca="1">OFFSET(Язык!$A$578,0,LANGUAGE)</f>
        <v>Ставка сравнения (дисконтирования)</v>
      </c>
      <c r="B1268" s="77">
        <f>B1118</f>
        <v>0.14000000000000001</v>
      </c>
    </row>
    <row r="1269" spans="1:13" outlineLevel="1">
      <c r="A1269" s="2" t="str">
        <f ca="1">OFFSET(Язык!$A$579,0,LANGUAGE)</f>
        <v>NPV</v>
      </c>
      <c r="B1269" s="95">
        <f ca="1">B1142</f>
        <v>1811605.9631587244</v>
      </c>
      <c r="C1269" s="6" t="str">
        <f ca="1">C1117</f>
        <v>$</v>
      </c>
    </row>
    <row r="1270" spans="1:13" outlineLevel="1">
      <c r="A1270" s="2" t="str">
        <f ca="1">OFFSET(Язык!$A$580,0,LANGUAGE)</f>
        <v>IRR</v>
      </c>
      <c r="B1270" s="103">
        <f ca="1">B1145</f>
        <v>0.54391186856886931</v>
      </c>
    </row>
    <row r="1271" spans="1:13" outlineLevel="1">
      <c r="A1271" s="2" t="str">
        <f ca="1">OFFSET(Язык!$A$581,0,LANGUAGE)</f>
        <v>Дисконтированный срок окупаемости</v>
      </c>
      <c r="B1271" s="94">
        <f ca="1">B1143</f>
        <v>2.7736196979464474</v>
      </c>
      <c r="C1271" s="6" t="str">
        <f ca="1">C1143</f>
        <v>года</v>
      </c>
    </row>
    <row r="1272" spans="1:13" outlineLevel="1">
      <c r="A1272" s="43"/>
      <c r="B1272" s="41"/>
      <c r="C1272" s="41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1:13" outlineLevel="1"/>
    <row r="1274" spans="1:13" outlineLevel="1">
      <c r="A1274" s="2" t="str">
        <f ca="1">OFFSET(Язык!$A$582,0,LANGUAGE)</f>
        <v>Собственные средства и целевое финансирование</v>
      </c>
      <c r="C1274" s="6">
        <f>CUR_Report</f>
        <v>0</v>
      </c>
      <c r="F1274" s="26">
        <f t="shared" ref="F1274:J1274" si="1029">F877+F878</f>
        <v>0</v>
      </c>
      <c r="G1274" s="26">
        <f t="shared" si="1029"/>
        <v>0</v>
      </c>
      <c r="H1274" s="26">
        <f t="shared" si="1029"/>
        <v>0</v>
      </c>
      <c r="I1274" s="26">
        <f t="shared" si="1029"/>
        <v>0</v>
      </c>
      <c r="J1274" s="26">
        <f t="shared" si="1029"/>
        <v>0</v>
      </c>
      <c r="K1274" s="26">
        <f t="shared" ref="K1274" si="1030">K877+K878</f>
        <v>0</v>
      </c>
      <c r="M1274" s="27">
        <f>SUM(F1274:K1274)</f>
        <v>0</v>
      </c>
    </row>
    <row r="1275" spans="1:13" outlineLevel="1"/>
    <row r="1276" spans="1:13" outlineLevel="1">
      <c r="A1276" s="2" t="str">
        <f ca="1">OFFSET(Язык!$A$583,0,LANGUAGE)</f>
        <v>Привлечение кредитов</v>
      </c>
      <c r="C1276" s="6">
        <f>CUR_Report</f>
        <v>0</v>
      </c>
      <c r="F1276" s="26">
        <f t="shared" ref="F1276:J1276" si="1031">F879</f>
        <v>0</v>
      </c>
      <c r="G1276" s="26">
        <f t="shared" si="1031"/>
        <v>2906000</v>
      </c>
      <c r="H1276" s="26">
        <f t="shared" si="1031"/>
        <v>0</v>
      </c>
      <c r="I1276" s="26">
        <f t="shared" si="1031"/>
        <v>0</v>
      </c>
      <c r="J1276" s="26">
        <f t="shared" si="1031"/>
        <v>0</v>
      </c>
      <c r="K1276" s="26">
        <f t="shared" ref="K1276" si="1032">K879</f>
        <v>0</v>
      </c>
      <c r="M1276" s="27">
        <f>SUM(F1276:K1276)</f>
        <v>2906000</v>
      </c>
    </row>
    <row r="1277" spans="1:13" outlineLevel="1">
      <c r="A1277" s="2" t="str">
        <f ca="1">OFFSET(Язык!$A$584,0,LANGUAGE)</f>
        <v>Погашение задолженности</v>
      </c>
      <c r="C1277" s="6">
        <f>CUR_Report</f>
        <v>0</v>
      </c>
      <c r="F1277" s="26">
        <f t="shared" ref="F1277:J1277" si="1033">F880</f>
        <v>0</v>
      </c>
      <c r="G1277" s="26">
        <f t="shared" si="1033"/>
        <v>0</v>
      </c>
      <c r="H1277" s="26">
        <f t="shared" si="1033"/>
        <v>-970000</v>
      </c>
      <c r="I1277" s="26">
        <f t="shared" si="1033"/>
        <v>-970000</v>
      </c>
      <c r="J1277" s="26">
        <f t="shared" si="1033"/>
        <v>-966000</v>
      </c>
      <c r="K1277" s="26">
        <f t="shared" ref="K1277" si="1034">K880</f>
        <v>0</v>
      </c>
      <c r="M1277" s="27">
        <f>SUM(F1277:K1277)</f>
        <v>-2906000</v>
      </c>
    </row>
    <row r="1278" spans="1:13" outlineLevel="1">
      <c r="A1278" s="2" t="str">
        <f ca="1">OFFSET(Язык!$A$585,0,LANGUAGE)</f>
        <v>Выплаты процентов по кредитам</v>
      </c>
      <c r="C1278" s="6">
        <f>CUR_Report</f>
        <v>0</v>
      </c>
      <c r="F1278" s="26">
        <f t="shared" ref="F1278:J1278" si="1035">F863</f>
        <v>0</v>
      </c>
      <c r="G1278" s="26">
        <f t="shared" si="1035"/>
        <v>0</v>
      </c>
      <c r="H1278" s="26">
        <f t="shared" si="1035"/>
        <v>-406840.00000000006</v>
      </c>
      <c r="I1278" s="26">
        <f t="shared" si="1035"/>
        <v>-271040</v>
      </c>
      <c r="J1278" s="26">
        <f t="shared" si="1035"/>
        <v>-135240</v>
      </c>
      <c r="K1278" s="26">
        <f t="shared" ref="K1278" si="1036">K863</f>
        <v>0</v>
      </c>
      <c r="M1278" s="27">
        <f>SUM(F1278:K1278)</f>
        <v>-813120</v>
      </c>
    </row>
    <row r="1279" spans="1:13" outlineLevel="1"/>
    <row r="1280" spans="1:13" outlineLevel="1">
      <c r="A1280" s="2" t="str">
        <f ca="1">OFFSET(Язык!$A$586,0,LANGUAGE)</f>
        <v>Общий коэффициент покрытия долга</v>
      </c>
      <c r="G1280" s="100" t="str">
        <f t="shared" ref="G1280:J1280" si="1037">G1033</f>
        <v>-</v>
      </c>
      <c r="H1280" s="100">
        <f t="shared" ca="1" si="1037"/>
        <v>1.3453698451629001</v>
      </c>
      <c r="I1280" s="100">
        <f t="shared" ca="1" si="1037"/>
        <v>1.0220888986653163</v>
      </c>
      <c r="J1280" s="100">
        <f t="shared" ca="1" si="1037"/>
        <v>1.2749232655162042</v>
      </c>
      <c r="K1280" s="100" t="str">
        <f t="shared" ref="K1280" si="1038">K1033</f>
        <v>-</v>
      </c>
    </row>
    <row r="1281" spans="1:13" outlineLevel="1">
      <c r="A1281" s="43"/>
      <c r="B1281" s="41"/>
      <c r="C1281" s="41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</sheetData>
  <phoneticPr fontId="0" type="noConversion"/>
  <conditionalFormatting sqref="B548 B560">
    <cfRule type="cellIs" dxfId="4" priority="7" stopIfTrue="1" operator="notBetween">
      <formula>0</formula>
      <formula>1</formula>
    </cfRule>
  </conditionalFormatting>
  <conditionalFormatting sqref="G230:K230 G205:K205">
    <cfRule type="cellIs" dxfId="3" priority="8" stopIfTrue="1" operator="lessThan">
      <formula>0</formula>
    </cfRule>
  </conditionalFormatting>
  <dataValidations count="8">
    <dataValidation type="custom" allowBlank="1" showInputMessage="1" showErrorMessage="1" errorTitle="Ошибка ввода" error="Сумма долей бюджетов не может быть больше 100%" sqref="B1228:C1228">
      <formula1>$B1228+$C1228&lt;=1</formula1>
    </dataValidation>
    <dataValidation type="whole" showErrorMessage="1" errorTitle="Недопустимое значение" error="Разрешенные значения:&#10;1 - основная валюта&#10;2 - иностранная валюта" sqref="B1183 B330 B340 B348 B356 B1117 B433 B410 B389 B614 B189:B190 B130 B135">
      <formula1>1</formula1>
      <formula2>2</formula2>
    </dataValidation>
    <dataValidation type="whole" allowBlank="1" showInputMessage="1" showErrorMessage="1" sqref="B1114">
      <formula1>1</formula1>
      <formula2>3</formula2>
    </dataValidation>
    <dataValidation type="whole" allowBlank="1" showInputMessage="1" showErrorMessage="1" errorTitle="Альт-Инвест" error="Допустимые значения в этой ячейке: от 1 до 4" sqref="B501">
      <formula1>1</formula1>
      <formula2>4</formula2>
    </dataValidation>
    <dataValidation type="whole" allowBlank="1" showInputMessage="1" showErrorMessage="1" sqref="B583 B680:B681">
      <formula1>1</formula1>
      <formula2>2</formula2>
    </dataValidation>
    <dataValidation type="whole" allowBlank="1" showInputMessage="1" showErrorMessage="1" sqref="B613">
      <formula1>1</formula1>
      <formula2>4</formula2>
    </dataValidation>
    <dataValidation type="whole" allowBlank="1" showInputMessage="1" showErrorMessage="1" sqref="B458 B1115:B1116">
      <formula1>0</formula1>
      <formula2>1</formula2>
    </dataValidation>
    <dataValidation type="whole" allowBlank="1" showInputMessage="1" showErrorMessage="1" errorTitle="Альт-Инвест" error="Допустимые значения в этой ячейке: 1 или 2" sqref="F88">
      <formula1>1</formula1>
      <formula2>2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&amp;LАльт-Инвест™ 5</oddHeader>
    <oddFooter>&amp;L&amp;D  &amp;T&amp;C&amp;F&amp;RСтр. &amp;P из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M568"/>
  <sheetViews>
    <sheetView workbookViewId="0">
      <selection activeCell="A55" sqref="A55"/>
    </sheetView>
  </sheetViews>
  <sheetFormatPr defaultRowHeight="11.25" outlineLevelRow="2"/>
  <cols>
    <col min="1" max="1" width="50.83203125" style="1" customWidth="1"/>
    <col min="2" max="3" width="12.83203125" style="1" customWidth="1"/>
    <col min="4" max="4" width="1.83203125" style="1" hidden="1" customWidth="1"/>
    <col min="5" max="5" width="11.6640625" style="1" hidden="1" customWidth="1"/>
    <col min="6" max="11" width="11.83203125" style="1" customWidth="1"/>
    <col min="12" max="12" width="1.832031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OFFSET(Язык!$A$666,0,LANGUAGE)</f>
        <v>Суммарные результаты реализации проектов</v>
      </c>
      <c r="B2" s="6"/>
      <c r="C2" s="6"/>
    </row>
    <row r="3" spans="1:13" ht="12" thickBot="1"/>
    <row r="4" spans="1:13" ht="15.95" customHeight="1" thickTop="1" thickBot="1">
      <c r="A4" s="18" t="str">
        <f ca="1">OFFSET(Язык!$A$667,0,LANGUAGE)</f>
        <v>ОБЩИЕ ДАННЫЕ</v>
      </c>
      <c r="B4" s="19"/>
      <c r="C4" s="19"/>
    </row>
    <row r="5" spans="1:13" ht="12" thickTop="1"/>
    <row r="6" spans="1:13">
      <c r="A6" s="48" t="str">
        <f ca="1">OFFSET(Язык!$A$668,0,LANGUAGE)</f>
        <v>Включение проектов в суммарные результаты:</v>
      </c>
    </row>
    <row r="7" spans="1:13">
      <c r="A7" s="1" t="str">
        <f>"    " &amp; Проект!PRJ_Name</f>
        <v xml:space="preserve">    Ресторан восточной кухни</v>
      </c>
      <c r="B7" s="137">
        <v>1</v>
      </c>
      <c r="C7" s="132" t="str">
        <f ca="1">OFFSET(Язык!$A$671,B7,LANGUAGE)</f>
        <v>да</v>
      </c>
    </row>
    <row r="9" spans="1:13">
      <c r="A9" s="48" t="str">
        <f ca="1">OFFSET(Язык!$A$669,0,LANGUAGE)</f>
        <v>Включать данные о компании?</v>
      </c>
      <c r="B9" s="137">
        <v>1</v>
      </c>
      <c r="C9" s="132" t="str">
        <f ca="1">OFFSET(Язык!$A$671,B9,LANGUAGE)</f>
        <v>да</v>
      </c>
    </row>
    <row r="10" spans="1:13" ht="12" thickBot="1"/>
    <row r="11" spans="1:13" s="2" customFormat="1" ht="15.95" customHeight="1" thickTop="1" thickBot="1">
      <c r="A11" s="18" t="str">
        <f ca="1">OFFSET(Язык!$A$673,0,LANGUAGE)</f>
        <v>НАЛОГИ И ИСПОЛЬЗОВАНИЕ ПРИБЫЛИ</v>
      </c>
      <c r="B11" s="19"/>
      <c r="C11" s="19"/>
      <c r="D11" s="18"/>
      <c r="E11" s="18"/>
      <c r="F11" s="19" t="str">
        <f t="shared" ref="F11:K11" si="0">PeriodTitle</f>
        <v>"0"</v>
      </c>
      <c r="G11" s="19">
        <f t="shared" si="0"/>
        <v>2013</v>
      </c>
      <c r="H11" s="19">
        <f t="shared" si="0"/>
        <v>2014</v>
      </c>
      <c r="I11" s="19">
        <f t="shared" si="0"/>
        <v>2015</v>
      </c>
      <c r="J11" s="19">
        <f t="shared" si="0"/>
        <v>2016</v>
      </c>
      <c r="K11" s="19">
        <f t="shared" si="0"/>
        <v>2017</v>
      </c>
      <c r="L11" s="19"/>
      <c r="M11" s="23" t="str">
        <f ca="1">OFFSET(Язык!$A$77,0,LANGUAGE)</f>
        <v>ИТОГО</v>
      </c>
    </row>
    <row r="12" spans="1:13" ht="12" outlineLevel="1" thickTop="1"/>
    <row r="13" spans="1:13" outlineLevel="1">
      <c r="A13" s="1" t="str">
        <f ca="1">OFFSET(Язык!$A$675,0,LANGUAGE)</f>
        <v>Налог на прибыль по консолидированной отчетности</v>
      </c>
      <c r="B13" s="137">
        <v>0</v>
      </c>
      <c r="C13" s="132" t="str">
        <f>IF(B13=1,"да","нет")</f>
        <v>нет</v>
      </c>
    </row>
    <row r="14" spans="1:13" outlineLevel="1">
      <c r="A14" s="1" t="str">
        <f ca="1">OFFSET(Язык!$A$676,0,LANGUAGE)</f>
        <v>Дивиденды по консолидированной отчетности</v>
      </c>
      <c r="B14" s="137">
        <v>0</v>
      </c>
      <c r="C14" s="132" t="str">
        <f>IF(B14=1,"да","нет")</f>
        <v>нет</v>
      </c>
    </row>
    <row r="15" spans="1:13" outlineLevel="1"/>
    <row r="16" spans="1:13" outlineLevel="1" collapsed="1">
      <c r="A16" s="2" t="str">
        <f ca="1">OFFSET(Язык!$A$313,0,LANGUAGE)</f>
        <v>НДС полученный</v>
      </c>
      <c r="C16" s="132" t="str">
        <f t="shared" ref="C16:C31" ca="1" si="1">CUR_Main</f>
        <v>$</v>
      </c>
      <c r="D16" s="1" t="s">
        <v>1315</v>
      </c>
      <c r="F16" s="134">
        <f ca="1">SUMPRODUCT($B7:OFFSET($B8,-1,0),F17:OFFSET(F18,-1,0))+$B$9*Компания!F115</f>
        <v>0</v>
      </c>
      <c r="G16" s="134">
        <f ca="1">SUMPRODUCT($B7:OFFSET($B8,-1,0),G17:OFFSET(G18,-1,0))+$B$9*Компания!G115</f>
        <v>272651.78571428568</v>
      </c>
      <c r="H16" s="134">
        <f ca="1">SUMPRODUCT($B7:OFFSET($B8,-1,0),H17:OFFSET(H18,-1,0))+$B$9*Компания!H115</f>
        <v>599833.92857142864</v>
      </c>
      <c r="I16" s="134">
        <f ca="1">SUMPRODUCT($B7:OFFSET($B8,-1,0),I17:OFFSET(I18,-1,0))+$B$9*Компания!I115</f>
        <v>659817.32142857159</v>
      </c>
      <c r="J16" s="134">
        <f ca="1">SUMPRODUCT($B7:OFFSET($B8,-1,0),J17:OFFSET(J18,-1,0))+$B$9*Компания!J115</f>
        <v>725799.05357142875</v>
      </c>
      <c r="K16" s="134">
        <f ca="1">SUMPRODUCT($B7:OFFSET($B8,-1,0),K17:OFFSET(K18,-1,0))+$B$9*Компания!K115</f>
        <v>798378.95892857166</v>
      </c>
      <c r="L16" s="134"/>
      <c r="M16" s="134">
        <f t="shared" ref="M16:M31" ca="1" si="2">SUM(F16:K16)</f>
        <v>3056481.0482142861</v>
      </c>
    </row>
    <row r="17" spans="1:13" hidden="1" outlineLevel="2">
      <c r="A17" s="13" t="str">
        <f>A7</f>
        <v xml:space="preserve">    Ресторан восточной кухни</v>
      </c>
      <c r="B17" s="135"/>
      <c r="C17" s="175" t="str">
        <f t="shared" ca="1" si="1"/>
        <v>$</v>
      </c>
      <c r="D17" s="135" t="s">
        <v>1316</v>
      </c>
      <c r="E17" s="135"/>
      <c r="F17" s="136">
        <f ca="1">Проект!F$682</f>
        <v>0</v>
      </c>
      <c r="G17" s="136">
        <f ca="1">Проект!G$682</f>
        <v>272651.78571428568</v>
      </c>
      <c r="H17" s="136">
        <f ca="1">Проект!H$682</f>
        <v>599833.92857142864</v>
      </c>
      <c r="I17" s="136">
        <f ca="1">Проект!I$682</f>
        <v>659817.32142857159</v>
      </c>
      <c r="J17" s="136">
        <f ca="1">Проект!J$682</f>
        <v>725799.05357142875</v>
      </c>
      <c r="K17" s="136">
        <f ca="1">Проект!K$682</f>
        <v>798378.95892857166</v>
      </c>
      <c r="L17" s="136"/>
      <c r="M17" s="136">
        <f t="shared" ca="1" si="2"/>
        <v>3056481.0482142861</v>
      </c>
    </row>
    <row r="18" spans="1:13" outlineLevel="1" collapsed="1">
      <c r="A18" s="2" t="str">
        <f ca="1">OFFSET(Язык!$A$317,0,LANGUAGE)</f>
        <v>НДС уплаченный</v>
      </c>
      <c r="C18" s="132" t="str">
        <f t="shared" ca="1" si="1"/>
        <v>$</v>
      </c>
      <c r="D18" s="1" t="s">
        <v>1315</v>
      </c>
      <c r="F18" s="134">
        <f ca="1">SUMPRODUCT($B7:OFFSET($B8,-1,0),F19:OFFSET(F20,-1,0))+$B$9*(Компания!F131+Компания!F176)</f>
        <v>0</v>
      </c>
      <c r="G18" s="134">
        <f ca="1">SUMPRODUCT($B7:OFFSET($B8,-1,0),G19:OFFSET(G20,-1,0))+$B$9*(Компания!G131+Компания!G176)</f>
        <v>505866.96428571426</v>
      </c>
      <c r="H18" s="134">
        <f ca="1">SUMPRODUCT($B7:OFFSET($B8,-1,0),H19:OFFSET(H20,-1,0))+$B$9*(Компания!H131+Компания!H176)</f>
        <v>386608.92857142858</v>
      </c>
      <c r="I18" s="134">
        <f ca="1">SUMPRODUCT($B7:OFFSET($B8,-1,0),I19:OFFSET(I20,-1,0))+$B$9*(Компания!I131+Компания!I176)</f>
        <v>425269.82142857148</v>
      </c>
      <c r="J18" s="134">
        <f ca="1">SUMPRODUCT($B7:OFFSET($B8,-1,0),J19:OFFSET(J20,-1,0))+$B$9*(Компания!J131+Компания!J176)</f>
        <v>467796.80357142858</v>
      </c>
      <c r="K18" s="134">
        <f ca="1">SUMPRODUCT($B7:OFFSET($B8,-1,0),K19:OFFSET(K20,-1,0))+$B$9*(Компания!K131+Компания!K176)</f>
        <v>514576.48392857151</v>
      </c>
      <c r="L18" s="134"/>
      <c r="M18" s="134">
        <f t="shared" ca="1" si="2"/>
        <v>2300119.0017857146</v>
      </c>
    </row>
    <row r="19" spans="1:13" hidden="1" outlineLevel="2">
      <c r="A19" s="13" t="str">
        <f>A7</f>
        <v xml:space="preserve">    Ресторан восточной кухни</v>
      </c>
      <c r="B19" s="135"/>
      <c r="C19" s="175" t="str">
        <f t="shared" ca="1" si="1"/>
        <v>$</v>
      </c>
      <c r="D19" s="135" t="s">
        <v>1316</v>
      </c>
      <c r="E19" s="135"/>
      <c r="F19" s="136">
        <f ca="1">Проект!F$686</f>
        <v>0</v>
      </c>
      <c r="G19" s="136">
        <f ca="1">Проект!G$686</f>
        <v>505866.96428571426</v>
      </c>
      <c r="H19" s="136">
        <f ca="1">Проект!H$686</f>
        <v>386608.92857142858</v>
      </c>
      <c r="I19" s="136">
        <f ca="1">Проект!I$686</f>
        <v>425269.82142857148</v>
      </c>
      <c r="J19" s="136">
        <f ca="1">Проект!J$686</f>
        <v>467796.80357142858</v>
      </c>
      <c r="K19" s="136">
        <f ca="1">Проект!K$686</f>
        <v>514576.48392857151</v>
      </c>
      <c r="L19" s="136"/>
      <c r="M19" s="136">
        <f t="shared" ca="1" si="2"/>
        <v>2300119.0017857146</v>
      </c>
    </row>
    <row r="20" spans="1:13" outlineLevel="1" collapsed="1">
      <c r="A20" s="2" t="str">
        <f ca="1">OFFSET(Язык!$A$321,0,LANGUAGE)</f>
        <v xml:space="preserve">    при оплате постоянных активов</v>
      </c>
      <c r="C20" s="132" t="str">
        <f t="shared" ca="1" si="1"/>
        <v>$</v>
      </c>
      <c r="D20" s="1" t="s">
        <v>1315</v>
      </c>
      <c r="F20" s="134">
        <f ca="1">SUMPRODUCT($B7:OFFSET($B8,-1,0),F21:OFFSET(F22,-1,0))+$B$9*Компания!F176</f>
        <v>0</v>
      </c>
      <c r="G20" s="134">
        <f ca="1">SUMPRODUCT($B7:OFFSET($B8,-1,0),G21:OFFSET(G22,-1,0))+$B$9*Компания!G176</f>
        <v>311357.14285714284</v>
      </c>
      <c r="H20" s="134">
        <f ca="1">SUMPRODUCT($B7:OFFSET($B8,-1,0),H21:OFFSET(H22,-1,0))+$B$9*Компания!H176</f>
        <v>0</v>
      </c>
      <c r="I20" s="134">
        <f ca="1">SUMPRODUCT($B7:OFFSET($B8,-1,0),I21:OFFSET(I22,-1,0))+$B$9*Компания!I176</f>
        <v>0</v>
      </c>
      <c r="J20" s="134">
        <f ca="1">SUMPRODUCT($B7:OFFSET($B8,-1,0),J21:OFFSET(J22,-1,0))+$B$9*Компания!J176</f>
        <v>0</v>
      </c>
      <c r="K20" s="134">
        <f ca="1">SUMPRODUCT($B7:OFFSET($B8,-1,0),K21:OFFSET(K22,-1,0))+$B$9*Компания!K176</f>
        <v>0</v>
      </c>
      <c r="L20" s="134"/>
      <c r="M20" s="134">
        <f t="shared" ca="1" si="2"/>
        <v>311357.14285714284</v>
      </c>
    </row>
    <row r="21" spans="1:13" hidden="1" outlineLevel="2">
      <c r="A21" s="13" t="str">
        <f>A7</f>
        <v xml:space="preserve">    Ресторан восточной кухни</v>
      </c>
      <c r="B21" s="135"/>
      <c r="C21" s="175" t="str">
        <f t="shared" ca="1" si="1"/>
        <v>$</v>
      </c>
      <c r="D21" s="135" t="s">
        <v>1316</v>
      </c>
      <c r="E21" s="135"/>
      <c r="F21" s="136">
        <f>Проект!F$690</f>
        <v>0</v>
      </c>
      <c r="G21" s="136">
        <f>Проект!G$690</f>
        <v>311357.14285714284</v>
      </c>
      <c r="H21" s="136">
        <f>Проект!H$690</f>
        <v>0</v>
      </c>
      <c r="I21" s="136">
        <f>Проект!I$690</f>
        <v>0</v>
      </c>
      <c r="J21" s="136">
        <f>Проект!J$690</f>
        <v>0</v>
      </c>
      <c r="K21" s="136">
        <f>Проект!K$690</f>
        <v>0</v>
      </c>
      <c r="L21" s="136"/>
      <c r="M21" s="136">
        <f t="shared" si="2"/>
        <v>311357.14285714284</v>
      </c>
    </row>
    <row r="22" spans="1:13" outlineLevel="1" collapsed="1">
      <c r="A22" s="2" t="str">
        <f ca="1">OFFSET(Язык!$A$323,0,LANGUAGE)</f>
        <v xml:space="preserve">    зачтенный НДС на постоянные активы</v>
      </c>
      <c r="C22" s="132" t="str">
        <f t="shared" ca="1" si="1"/>
        <v>$</v>
      </c>
      <c r="D22" s="1" t="s">
        <v>1315</v>
      </c>
      <c r="F22" s="134">
        <f ca="1">SUMPRODUCT($B7:OFFSET($B8,-1,0),F23:OFFSET(F24,-1,0))+$B$9*Компания!F176</f>
        <v>0</v>
      </c>
      <c r="G22" s="134">
        <f ca="1">SUMPRODUCT($B7:OFFSET($B8,-1,0),G23:OFFSET(G24,-1,0))+$B$9*Компания!G176</f>
        <v>0</v>
      </c>
      <c r="H22" s="134">
        <f ca="1">SUMPRODUCT($B7:OFFSET($B8,-1,0),H23:OFFSET(H24,-1,0))+$B$9*Компания!H176</f>
        <v>311357.14285714284</v>
      </c>
      <c r="I22" s="134">
        <f ca="1">SUMPRODUCT($B7:OFFSET($B8,-1,0),I23:OFFSET(I24,-1,0))+$B$9*Компания!I176</f>
        <v>0</v>
      </c>
      <c r="J22" s="134">
        <f ca="1">SUMPRODUCT($B7:OFFSET($B8,-1,0),J23:OFFSET(J24,-1,0))+$B$9*Компания!J176</f>
        <v>0</v>
      </c>
      <c r="K22" s="134">
        <f ca="1">SUMPRODUCT($B7:OFFSET($B8,-1,0),K23:OFFSET(K24,-1,0))+$B$9*Компания!K176</f>
        <v>0</v>
      </c>
      <c r="L22" s="134"/>
      <c r="M22" s="134">
        <f t="shared" ca="1" si="2"/>
        <v>311357.14285714284</v>
      </c>
    </row>
    <row r="23" spans="1:13" hidden="1" outlineLevel="2">
      <c r="A23" s="13" t="str">
        <f>A7</f>
        <v xml:space="preserve">    Ресторан восточной кухни</v>
      </c>
      <c r="B23" s="135"/>
      <c r="C23" s="175" t="str">
        <f t="shared" ca="1" si="1"/>
        <v>$</v>
      </c>
      <c r="D23" s="135" t="s">
        <v>1316</v>
      </c>
      <c r="E23" s="135"/>
      <c r="F23" s="136">
        <f ca="1">Проект!F$692</f>
        <v>0</v>
      </c>
      <c r="G23" s="136">
        <f ca="1">Проект!G$692</f>
        <v>0</v>
      </c>
      <c r="H23" s="136">
        <f ca="1">Проект!H$692</f>
        <v>311357.14285714284</v>
      </c>
      <c r="I23" s="136">
        <f ca="1">Проект!I$692</f>
        <v>0</v>
      </c>
      <c r="J23" s="136">
        <f ca="1">Проект!J$692</f>
        <v>0</v>
      </c>
      <c r="K23" s="136">
        <f ca="1">Проект!K$692</f>
        <v>0</v>
      </c>
      <c r="L23" s="136"/>
      <c r="M23" s="136">
        <f t="shared" ca="1" si="2"/>
        <v>311357.14285714284</v>
      </c>
    </row>
    <row r="24" spans="1:13" outlineLevel="1" collapsed="1">
      <c r="A24" s="2" t="str">
        <f ca="1">OFFSET(Язык!$A$324,0,LANGUAGE)</f>
        <v xml:space="preserve">    выплаченный, но еще не зачтенный НДС</v>
      </c>
      <c r="C24" s="132" t="str">
        <f t="shared" ca="1" si="1"/>
        <v>$</v>
      </c>
      <c r="D24" s="1" t="s">
        <v>1736</v>
      </c>
      <c r="F24" s="134">
        <f ca="1">SUMPRODUCT($B7:OFFSET($B8,-1,0),F25:OFFSET(F26,-1,0))</f>
        <v>0</v>
      </c>
      <c r="G24" s="134">
        <f ca="1">SUMPRODUCT($B7:OFFSET($B8,-1,0),G25:OFFSET(G26,-1,0))</f>
        <v>311357.14285714284</v>
      </c>
      <c r="H24" s="134">
        <f ca="1">SUMPRODUCT($B7:OFFSET($B8,-1,0),H25:OFFSET(H26,-1,0))</f>
        <v>0</v>
      </c>
      <c r="I24" s="134">
        <f ca="1">SUMPRODUCT($B7:OFFSET($B8,-1,0),I25:OFFSET(I26,-1,0))</f>
        <v>0</v>
      </c>
      <c r="J24" s="134">
        <f ca="1">SUMPRODUCT($B7:OFFSET($B8,-1,0),J25:OFFSET(J26,-1,0))</f>
        <v>0</v>
      </c>
      <c r="K24" s="134">
        <f ca="1">SUMPRODUCT($B7:OFFSET($B8,-1,0),K25:OFFSET(K26,-1,0))</f>
        <v>0</v>
      </c>
      <c r="L24" s="134"/>
      <c r="M24" s="134">
        <f t="shared" ca="1" si="2"/>
        <v>311357.14285714284</v>
      </c>
    </row>
    <row r="25" spans="1:13" hidden="1" outlineLevel="2">
      <c r="A25" s="13" t="str">
        <f>A7</f>
        <v xml:space="preserve">    Ресторан восточной кухни</v>
      </c>
      <c r="B25" s="135"/>
      <c r="C25" s="175" t="str">
        <f t="shared" ca="1" si="1"/>
        <v>$</v>
      </c>
      <c r="D25" s="135" t="s">
        <v>1317</v>
      </c>
      <c r="E25" s="135"/>
      <c r="F25" s="136">
        <f ca="1">Проект!F$693</f>
        <v>0</v>
      </c>
      <c r="G25" s="136">
        <f ca="1">Проект!G$693</f>
        <v>311357.14285714284</v>
      </c>
      <c r="H25" s="136">
        <f ca="1">Проект!H$693</f>
        <v>0</v>
      </c>
      <c r="I25" s="136">
        <f ca="1">Проект!I$693</f>
        <v>0</v>
      </c>
      <c r="J25" s="136">
        <f ca="1">Проект!J$693</f>
        <v>0</v>
      </c>
      <c r="K25" s="136">
        <f ca="1">Проект!K$693</f>
        <v>0</v>
      </c>
      <c r="L25" s="136"/>
      <c r="M25" s="136">
        <f t="shared" ca="1" si="2"/>
        <v>311357.14285714284</v>
      </c>
    </row>
    <row r="26" spans="1:13" outlineLevel="1" collapsed="1">
      <c r="A26" s="2" t="str">
        <f ca="1">OFFSET(Язык!$A$325,0,LANGUAGE)</f>
        <v xml:space="preserve">    НДС к уплате в бюджет (или к возврату из бюджета)</v>
      </c>
      <c r="C26" s="132" t="str">
        <f t="shared" ca="1" si="1"/>
        <v>$</v>
      </c>
      <c r="D26" s="1" t="s">
        <v>1315</v>
      </c>
      <c r="F26" s="134">
        <f ca="1">SUMPRODUCT($B7:OFFSET($B8,-1,0),F27:OFFSET(F28,-1,0))+$B$9*(Компания!F115-Компания!F131-Компания!F176)</f>
        <v>0</v>
      </c>
      <c r="G26" s="134">
        <f ca="1">SUMPRODUCT($B7:OFFSET($B8,-1,0),G27:OFFSET(G28,-1,0))+$B$9*(Компания!G115-Компания!G131-Компания!G176)</f>
        <v>78141.964285714275</v>
      </c>
      <c r="H26" s="134">
        <f ca="1">SUMPRODUCT($B7:OFFSET($B8,-1,0),H27:OFFSET(H28,-1,0))+$B$9*(Компания!H115-Компания!H131-Компания!H176)</f>
        <v>-98132.142857142753</v>
      </c>
      <c r="I26" s="134">
        <f ca="1">SUMPRODUCT($B7:OFFSET($B8,-1,0),I27:OFFSET(I28,-1,0))+$B$9*(Компания!I115-Компания!I131-Компания!I176)</f>
        <v>234547.50000000015</v>
      </c>
      <c r="J26" s="134">
        <f ca="1">SUMPRODUCT($B7:OFFSET($B8,-1,0),J27:OFFSET(J28,-1,0))+$B$9*(Компания!J115-Компания!J131-Компания!J176)</f>
        <v>258002.25000000017</v>
      </c>
      <c r="K26" s="134">
        <f ca="1">SUMPRODUCT($B7:OFFSET($B8,-1,0),K27:OFFSET(K28,-1,0))+$B$9*(Компания!K115-Компания!K131-Компания!K176)</f>
        <v>283802.47500000015</v>
      </c>
      <c r="L26" s="134"/>
      <c r="M26" s="134">
        <f t="shared" ca="1" si="2"/>
        <v>756362.04642857192</v>
      </c>
    </row>
    <row r="27" spans="1:13" hidden="1" outlineLevel="2">
      <c r="A27" s="13" t="str">
        <f>A7</f>
        <v xml:space="preserve">    Ресторан восточной кухни</v>
      </c>
      <c r="B27" s="135"/>
      <c r="C27" s="175" t="str">
        <f t="shared" ca="1" si="1"/>
        <v>$</v>
      </c>
      <c r="D27" s="135" t="s">
        <v>1316</v>
      </c>
      <c r="E27" s="135"/>
      <c r="F27" s="136">
        <f ca="1">Проект!F$694</f>
        <v>0</v>
      </c>
      <c r="G27" s="136">
        <f ca="1">Проект!G$694</f>
        <v>78141.964285714275</v>
      </c>
      <c r="H27" s="136">
        <f ca="1">Проект!H$694</f>
        <v>-98132.142857142753</v>
      </c>
      <c r="I27" s="136">
        <f ca="1">Проект!I$694</f>
        <v>234547.50000000015</v>
      </c>
      <c r="J27" s="136">
        <f ca="1">Проект!J$694</f>
        <v>258002.25000000017</v>
      </c>
      <c r="K27" s="136">
        <f ca="1">Проект!K$694</f>
        <v>283802.47500000015</v>
      </c>
      <c r="L27" s="136"/>
      <c r="M27" s="136">
        <f t="shared" ca="1" si="2"/>
        <v>756362.04642857192</v>
      </c>
    </row>
    <row r="28" spans="1:13" outlineLevel="1" collapsed="1">
      <c r="A28" s="2" t="str">
        <f ca="1">OFFSET(Язык!$A$326,0,LANGUAGE)</f>
        <v xml:space="preserve">    отложенный возврат НДС из бюджета</v>
      </c>
      <c r="C28" s="132" t="str">
        <f t="shared" ca="1" si="1"/>
        <v>$</v>
      </c>
      <c r="D28" s="1" t="s">
        <v>1736</v>
      </c>
      <c r="F28" s="134">
        <f ca="1">SUMPRODUCT($B7:OFFSET($B8,-1,0),F29:OFFSET(F30,-1,0))</f>
        <v>0</v>
      </c>
      <c r="G28" s="134">
        <f ca="1">SUMPRODUCT($B7:OFFSET($B8,-1,0),G29:OFFSET(G30,-1,0))</f>
        <v>0</v>
      </c>
      <c r="H28" s="134">
        <f ca="1">SUMPRODUCT($B7:OFFSET($B8,-1,0),H29:OFFSET(H30,-1,0))</f>
        <v>0</v>
      </c>
      <c r="I28" s="134">
        <f ca="1">SUMPRODUCT($B7:OFFSET($B8,-1,0),I29:OFFSET(I30,-1,0))</f>
        <v>0</v>
      </c>
      <c r="J28" s="134">
        <f ca="1">SUMPRODUCT($B7:OFFSET($B8,-1,0),J29:OFFSET(J30,-1,0))</f>
        <v>0</v>
      </c>
      <c r="K28" s="134">
        <f ca="1">SUMPRODUCT($B7:OFFSET($B8,-1,0),K29:OFFSET(K30,-1,0))</f>
        <v>0</v>
      </c>
      <c r="L28" s="134"/>
      <c r="M28" s="134">
        <f t="shared" ca="1" si="2"/>
        <v>0</v>
      </c>
    </row>
    <row r="29" spans="1:13" hidden="1" outlineLevel="2">
      <c r="A29" s="13" t="str">
        <f>A7</f>
        <v xml:space="preserve">    Ресторан восточной кухни</v>
      </c>
      <c r="B29" s="135"/>
      <c r="C29" s="175" t="str">
        <f t="shared" ca="1" si="1"/>
        <v>$</v>
      </c>
      <c r="D29" s="135" t="s">
        <v>1316</v>
      </c>
      <c r="E29" s="135"/>
      <c r="F29" s="136">
        <f ca="1">Проект!F$695</f>
        <v>0</v>
      </c>
      <c r="G29" s="136">
        <f>Проект!G$695</f>
        <v>0</v>
      </c>
      <c r="H29" s="136">
        <f>Проект!H$695</f>
        <v>0</v>
      </c>
      <c r="I29" s="136">
        <f>Проект!I$695</f>
        <v>0</v>
      </c>
      <c r="J29" s="136">
        <f>Проект!J$695</f>
        <v>0</v>
      </c>
      <c r="K29" s="136">
        <f>Проект!K$695</f>
        <v>0</v>
      </c>
      <c r="L29" s="136"/>
      <c r="M29" s="136">
        <f t="shared" ca="1" si="2"/>
        <v>0</v>
      </c>
    </row>
    <row r="30" spans="1:13" outlineLevel="1" collapsed="1">
      <c r="A30" s="32" t="str">
        <f ca="1">OFFSET(Язык!$A$322,0,LANGUAGE)</f>
        <v>Платежи НДС в бюджет (или возврат из бюджета)</v>
      </c>
      <c r="C30" s="132" t="str">
        <f t="shared" ca="1" si="1"/>
        <v>$</v>
      </c>
      <c r="D30" s="1" t="s">
        <v>1315</v>
      </c>
      <c r="F30" s="134">
        <f ca="1">SUMPRODUCT($B7:OFFSET($B8,-1,0),F31:OFFSET(F32,-1,0))+$B$9*(Компания!F115-Компания!F131-Компания!F176)</f>
        <v>0</v>
      </c>
      <c r="G30" s="134">
        <f ca="1">SUMPRODUCT($B7:OFFSET($B8,-1,0),G31:OFFSET(G32,-1,0))+$B$9*(Компания!G115-Компания!G131-Компания!G176)</f>
        <v>78141.964285714275</v>
      </c>
      <c r="H30" s="134">
        <f ca="1">SUMPRODUCT($B7:OFFSET($B8,-1,0),H31:OFFSET(H32,-1,0))+$B$9*(Компания!H115-Компания!H131-Компания!H176)</f>
        <v>-98132.142857142753</v>
      </c>
      <c r="I30" s="134">
        <f ca="1">SUMPRODUCT($B7:OFFSET($B8,-1,0),I31:OFFSET(I32,-1,0))+$B$9*(Компания!I115-Компания!I131-Компания!I176)</f>
        <v>234547.50000000015</v>
      </c>
      <c r="J30" s="134">
        <f ca="1">SUMPRODUCT($B7:OFFSET($B8,-1,0),J31:OFFSET(J32,-1,0))+$B$9*(Компания!J115-Компания!J131-Компания!J176)</f>
        <v>258002.25000000017</v>
      </c>
      <c r="K30" s="134">
        <f ca="1">SUMPRODUCT($B7:OFFSET($B8,-1,0),K31:OFFSET(K32,-1,0))+$B$9*(Компания!K115-Компания!K131-Компания!K176)</f>
        <v>283802.47500000015</v>
      </c>
      <c r="L30" s="134"/>
      <c r="M30" s="134">
        <f t="shared" ca="1" si="2"/>
        <v>756362.04642857192</v>
      </c>
    </row>
    <row r="31" spans="1:13" hidden="1" outlineLevel="2">
      <c r="A31" s="13" t="str">
        <f>A7</f>
        <v xml:space="preserve">    Ресторан восточной кухни</v>
      </c>
      <c r="B31" s="135"/>
      <c r="C31" s="175" t="str">
        <f t="shared" ca="1" si="1"/>
        <v>$</v>
      </c>
      <c r="D31" s="135" t="s">
        <v>1316</v>
      </c>
      <c r="E31" s="135"/>
      <c r="F31" s="136">
        <f ca="1">Проект!F$691</f>
        <v>0</v>
      </c>
      <c r="G31" s="136">
        <f ca="1">Проект!G$691</f>
        <v>78141.964285714275</v>
      </c>
      <c r="H31" s="136">
        <f ca="1">Проект!H$691</f>
        <v>-98132.142857142753</v>
      </c>
      <c r="I31" s="136">
        <f ca="1">Проект!I$691</f>
        <v>234547.50000000015</v>
      </c>
      <c r="J31" s="136">
        <f ca="1">Проект!J$691</f>
        <v>258002.25000000017</v>
      </c>
      <c r="K31" s="136">
        <f ca="1">Проект!K$691</f>
        <v>283802.47500000015</v>
      </c>
      <c r="L31" s="136"/>
      <c r="M31" s="136">
        <f t="shared" ca="1" si="2"/>
        <v>756362.04642857192</v>
      </c>
    </row>
    <row r="32" spans="1:13" outlineLevel="1">
      <c r="C32" s="132"/>
      <c r="F32" s="134"/>
      <c r="G32" s="134"/>
      <c r="H32" s="134"/>
      <c r="I32" s="134"/>
      <c r="J32" s="134"/>
      <c r="K32" s="134"/>
      <c r="L32" s="134"/>
      <c r="M32" s="134"/>
    </row>
    <row r="33" spans="1:13" outlineLevel="1" collapsed="1">
      <c r="A33" s="32" t="str">
        <f ca="1">OFFSET(Язык!$A$359,0,LANGUAGE)</f>
        <v>Начисленный налог на прибыль</v>
      </c>
      <c r="C33" s="132" t="str">
        <f t="shared" ref="C33:C44" ca="1" si="3">CUR_Main</f>
        <v>$</v>
      </c>
      <c r="D33" s="1" t="s">
        <v>1315</v>
      </c>
      <c r="F33" s="134">
        <f ca="1">IF($B13=1,MAX(F83*ProfitTax,0),SUMPRODUCT($B7:OFFSET($B8,-1,0),F34:OFFSET(F35,-1,0))+$B$9*Компания!F224)</f>
        <v>0</v>
      </c>
      <c r="G33" s="134">
        <f ca="1">IF($B13=1,MAX(G83*ProfitTax,0),SUMPRODUCT($B7:OFFSET($B8,-1,0),G34:OFFSET(G35,-1,0))+$B$9*Компания!G224)</f>
        <v>110353.80714285714</v>
      </c>
      <c r="H33" s="134">
        <f ca="1">IF($B13=1,MAX(H83*ProfitTax,0),SUMPRODUCT($B7:OFFSET($B8,-1,0),H34:OFFSET(H35,-1,0))+$B$9*Компания!H224)</f>
        <v>197159.25017857153</v>
      </c>
      <c r="I33" s="134">
        <f ca="1">IF($B13=1,MAX(I83*ProfitTax,0),SUMPRODUCT($B7:OFFSET($B8,-1,0),I34:OFFSET(I35,-1,0))+$B$9*Компания!I224)</f>
        <v>170393.81853571447</v>
      </c>
      <c r="J33" s="134">
        <f ca="1">IF($B13=1,MAX(J83*ProfitTax,0),SUMPRODUCT($B7:OFFSET($B8,-1,0),J34:OFFSET(J35,-1,0))+$B$9*Компания!J224)</f>
        <v>228356.3879785717</v>
      </c>
      <c r="K33" s="134">
        <f ca="1">IF($B13=1,MAX(K83*ProfitTax,0),SUMPRODUCT($B7:OFFSET($B8,-1,0),K34:OFFSET(K35,-1,0))+$B$9*Компания!K224)</f>
        <v>289153.75490142882</v>
      </c>
      <c r="L33" s="134"/>
      <c r="M33" s="134">
        <f t="shared" ref="M33:M44" ca="1" si="4">SUM(F33:K33)</f>
        <v>995417.01873714372</v>
      </c>
    </row>
    <row r="34" spans="1:13" hidden="1" outlineLevel="2">
      <c r="A34" s="13" t="str">
        <f>A7</f>
        <v xml:space="preserve">    Ресторан восточной кухни</v>
      </c>
      <c r="B34" s="135"/>
      <c r="C34" s="175" t="str">
        <f t="shared" ca="1" si="3"/>
        <v>$</v>
      </c>
      <c r="D34" s="135" t="s">
        <v>1316</v>
      </c>
      <c r="E34" s="135"/>
      <c r="F34" s="136">
        <f>Проект!F$736</f>
        <v>0</v>
      </c>
      <c r="G34" s="136">
        <f ca="1">Проект!G$736</f>
        <v>110353.80714285714</v>
      </c>
      <c r="H34" s="136">
        <f ca="1">Проект!H$736</f>
        <v>197159.25017857153</v>
      </c>
      <c r="I34" s="136">
        <f ca="1">Проект!I$736</f>
        <v>170393.81853571447</v>
      </c>
      <c r="J34" s="136">
        <f ca="1">Проект!J$736</f>
        <v>228356.3879785717</v>
      </c>
      <c r="K34" s="136">
        <f ca="1">Проект!K$736</f>
        <v>289153.75490142882</v>
      </c>
      <c r="L34" s="136"/>
      <c r="M34" s="134">
        <f t="shared" ca="1" si="4"/>
        <v>995417.01873714372</v>
      </c>
    </row>
    <row r="35" spans="1:13" outlineLevel="1" collapsed="1">
      <c r="A35" s="2" t="str">
        <f ca="1">OFFSET(Язык!$A$361,0,LANGUAGE)</f>
        <v xml:space="preserve">    проценты по кредиту, выплачиваемые из прибыли</v>
      </c>
      <c r="C35" s="132" t="str">
        <f t="shared" ca="1" si="3"/>
        <v>$</v>
      </c>
      <c r="D35" s="1" t="s">
        <v>1315</v>
      </c>
      <c r="F35" s="134">
        <f ca="1">SUMPRODUCT($B7:OFFSET($B8,-1,0),F36:OFFSET(F37,-1,0))</f>
        <v>0</v>
      </c>
      <c r="G35" s="134">
        <f ca="1">SUMPRODUCT($B7:OFFSET($B8,-1,0),G36:OFFSET(G37,-1,0))</f>
        <v>0</v>
      </c>
      <c r="H35" s="134">
        <f ca="1">SUMPRODUCT($B7:OFFSET($B8,-1,0),H36:OFFSET(H37,-1,0))</f>
        <v>0</v>
      </c>
      <c r="I35" s="134">
        <f ca="1">SUMPRODUCT($B7:OFFSET($B8,-1,0),I36:OFFSET(I37,-1,0))</f>
        <v>0</v>
      </c>
      <c r="J35" s="134">
        <f ca="1">SUMPRODUCT($B7:OFFSET($B8,-1,0),J36:OFFSET(J37,-1,0))</f>
        <v>0</v>
      </c>
      <c r="K35" s="134">
        <f ca="1">SUMPRODUCT($B7:OFFSET($B8,-1,0),K36:OFFSET(K37,-1,0))</f>
        <v>0</v>
      </c>
      <c r="L35" s="134"/>
      <c r="M35" s="134">
        <f t="shared" ca="1" si="4"/>
        <v>0</v>
      </c>
    </row>
    <row r="36" spans="1:13" hidden="1" outlineLevel="2">
      <c r="A36" s="13" t="str">
        <f>A7</f>
        <v xml:space="preserve">    Ресторан восточной кухни</v>
      </c>
      <c r="B36" s="135"/>
      <c r="C36" s="175" t="str">
        <f t="shared" ca="1" si="3"/>
        <v>$</v>
      </c>
      <c r="D36" s="135" t="s">
        <v>1316</v>
      </c>
      <c r="E36" s="135"/>
      <c r="F36" s="136">
        <f>Проект!F$738</f>
        <v>0</v>
      </c>
      <c r="G36" s="136">
        <f>Проект!G$738</f>
        <v>0</v>
      </c>
      <c r="H36" s="136">
        <f>Проект!H$738</f>
        <v>0</v>
      </c>
      <c r="I36" s="136">
        <f>Проект!I$738</f>
        <v>0</v>
      </c>
      <c r="J36" s="136">
        <f>Проект!J$738</f>
        <v>0</v>
      </c>
      <c r="K36" s="136">
        <f>Проект!K$738</f>
        <v>0</v>
      </c>
      <c r="L36" s="136"/>
      <c r="M36" s="134">
        <f t="shared" si="4"/>
        <v>0</v>
      </c>
    </row>
    <row r="37" spans="1:13" outlineLevel="1" collapsed="1">
      <c r="A37" s="2" t="str">
        <f ca="1">OFFSET(Язык!$A$362,0,LANGUAGE)</f>
        <v xml:space="preserve">    льготы по налогу на прибыль</v>
      </c>
      <c r="C37" s="132" t="str">
        <f t="shared" ca="1" si="3"/>
        <v>$</v>
      </c>
      <c r="D37" s="1" t="s">
        <v>1315</v>
      </c>
      <c r="F37" s="134">
        <f ca="1">SUMPRODUCT($B7:OFFSET($B8,-1,0),F38:OFFSET(F39,-1,0))</f>
        <v>0</v>
      </c>
      <c r="G37" s="134">
        <f ca="1">SUMPRODUCT($B7:OFFSET($B8,-1,0),G38:OFFSET(G39,-1,0))</f>
        <v>0</v>
      </c>
      <c r="H37" s="134">
        <f ca="1">SUMPRODUCT($B7:OFFSET($B8,-1,0),H38:OFFSET(H39,-1,0))</f>
        <v>0</v>
      </c>
      <c r="I37" s="134">
        <f ca="1">SUMPRODUCT($B7:OFFSET($B8,-1,0),I38:OFFSET(I39,-1,0))</f>
        <v>0</v>
      </c>
      <c r="J37" s="134">
        <f ca="1">SUMPRODUCT($B7:OFFSET($B8,-1,0),J38:OFFSET(J39,-1,0))</f>
        <v>0</v>
      </c>
      <c r="K37" s="134">
        <f ca="1">SUMPRODUCT($B7:OFFSET($B8,-1,0),K38:OFFSET(K39,-1,0))</f>
        <v>0</v>
      </c>
      <c r="L37" s="134"/>
      <c r="M37" s="134">
        <f t="shared" ca="1" si="4"/>
        <v>0</v>
      </c>
    </row>
    <row r="38" spans="1:13" hidden="1" outlineLevel="2">
      <c r="A38" s="13" t="str">
        <f>A7</f>
        <v xml:space="preserve">    Ресторан восточной кухни</v>
      </c>
      <c r="B38" s="135"/>
      <c r="C38" s="175" t="str">
        <f t="shared" ca="1" si="3"/>
        <v>$</v>
      </c>
      <c r="D38" s="135" t="s">
        <v>1316</v>
      </c>
      <c r="E38" s="135"/>
      <c r="F38" s="136">
        <f>Проект!F$739</f>
        <v>0</v>
      </c>
      <c r="G38" s="136">
        <f>Проект!G$739</f>
        <v>0</v>
      </c>
      <c r="H38" s="136">
        <f>Проект!H$739</f>
        <v>0</v>
      </c>
      <c r="I38" s="136">
        <f>Проект!I$739</f>
        <v>0</v>
      </c>
      <c r="J38" s="136">
        <f>Проект!J$739</f>
        <v>0</v>
      </c>
      <c r="K38" s="136">
        <f>Проект!K$739</f>
        <v>0</v>
      </c>
      <c r="L38" s="136"/>
      <c r="M38" s="134">
        <f t="shared" si="4"/>
        <v>0</v>
      </c>
    </row>
    <row r="39" spans="1:13" outlineLevel="1" collapsed="1">
      <c r="A39" s="2" t="str">
        <f ca="1">OFFSET(Язык!$A$363,0,LANGUAGE)</f>
        <v xml:space="preserve">    накопленная прибыль/убытки текущего года</v>
      </c>
      <c r="C39" s="132" t="str">
        <f t="shared" ca="1" si="3"/>
        <v>$</v>
      </c>
      <c r="D39" s="1" t="s">
        <v>1736</v>
      </c>
      <c r="F39" s="134">
        <f ca="1">SUMPRODUCT($B7:OFFSET($B8,-1,0),F40:OFFSET(F41,-1,0))</f>
        <v>0</v>
      </c>
      <c r="G39" s="134">
        <f ca="1">SUMPRODUCT($B7:OFFSET($B8,-1,0),G40:OFFSET(G41,-1,0))</f>
        <v>551769.03571428568</v>
      </c>
      <c r="H39" s="134">
        <f ca="1">SUMPRODUCT($B7:OFFSET($B8,-1,0),H40:OFFSET(H41,-1,0))</f>
        <v>985796.25089285756</v>
      </c>
      <c r="I39" s="134">
        <f ca="1">SUMPRODUCT($B7:OFFSET($B8,-1,0),I40:OFFSET(I41,-1,0))</f>
        <v>851969.09267857228</v>
      </c>
      <c r="J39" s="134">
        <f ca="1">SUMPRODUCT($B7:OFFSET($B8,-1,0),J40:OFFSET(J41,-1,0))</f>
        <v>1141781.9398928585</v>
      </c>
      <c r="K39" s="134">
        <f ca="1">SUMPRODUCT($B7:OFFSET($B8,-1,0),K40:OFFSET(K41,-1,0))</f>
        <v>1445768.774507144</v>
      </c>
      <c r="L39" s="134"/>
      <c r="M39" s="134">
        <f t="shared" ca="1" si="4"/>
        <v>4977085.0936857183</v>
      </c>
    </row>
    <row r="40" spans="1:13" hidden="1" outlineLevel="2">
      <c r="A40" s="13" t="str">
        <f>A7</f>
        <v xml:space="preserve">    Ресторан восточной кухни</v>
      </c>
      <c r="B40" s="135"/>
      <c r="C40" s="175" t="str">
        <f t="shared" ca="1" si="3"/>
        <v>$</v>
      </c>
      <c r="D40" s="135" t="s">
        <v>1317</v>
      </c>
      <c r="E40" s="135"/>
      <c r="F40" s="136">
        <f>Проект!F$740</f>
        <v>0</v>
      </c>
      <c r="G40" s="136">
        <f ca="1">Проект!G$740</f>
        <v>551769.03571428568</v>
      </c>
      <c r="H40" s="136">
        <f ca="1">Проект!H$740</f>
        <v>985796.25089285756</v>
      </c>
      <c r="I40" s="136">
        <f ca="1">Проект!I$740</f>
        <v>851969.09267857228</v>
      </c>
      <c r="J40" s="136">
        <f ca="1">Проект!J$740</f>
        <v>1141781.9398928585</v>
      </c>
      <c r="K40" s="136">
        <f ca="1">Проект!K$740</f>
        <v>1445768.774507144</v>
      </c>
      <c r="L40" s="136"/>
      <c r="M40" s="134">
        <f t="shared" ca="1" si="4"/>
        <v>4977085.0936857183</v>
      </c>
    </row>
    <row r="41" spans="1:13" outlineLevel="1" collapsed="1">
      <c r="A41" s="32" t="str">
        <f ca="1">OFFSET(Язык!$A$418,0,LANGUAGE)</f>
        <v>Дивиденды по привилегированным акциям</v>
      </c>
      <c r="C41" s="132" t="str">
        <f t="shared" ca="1" si="3"/>
        <v>$</v>
      </c>
      <c r="D41" s="1" t="s">
        <v>1315</v>
      </c>
      <c r="F41" s="134">
        <f ca="1">SUMPRODUCT($B7:OFFSET($B8,-1,0),F42:OFFSET(F43,-1,0))</f>
        <v>0</v>
      </c>
      <c r="G41" s="134">
        <f ca="1">SUMPRODUCT($B7:OFFSET($B8,-1,0),G42:OFFSET(G43,-1,0))</f>
        <v>0</v>
      </c>
      <c r="H41" s="134">
        <f ca="1">SUMPRODUCT($B7:OFFSET($B8,-1,0),H42:OFFSET(H43,-1,0))</f>
        <v>0</v>
      </c>
      <c r="I41" s="134">
        <f ca="1">SUMPRODUCT($B7:OFFSET($B8,-1,0),I42:OFFSET(I43,-1,0))</f>
        <v>0</v>
      </c>
      <c r="J41" s="134">
        <f ca="1">SUMPRODUCT($B7:OFFSET($B8,-1,0),J42:OFFSET(J43,-1,0))</f>
        <v>0</v>
      </c>
      <c r="K41" s="134">
        <f ca="1">SUMPRODUCT($B7:OFFSET($B8,-1,0),K42:OFFSET(K43,-1,0))</f>
        <v>0</v>
      </c>
      <c r="L41" s="134"/>
      <c r="M41" s="134">
        <f t="shared" ca="1" si="4"/>
        <v>0</v>
      </c>
    </row>
    <row r="42" spans="1:13" hidden="1" outlineLevel="2">
      <c r="A42" s="13" t="str">
        <f>A7</f>
        <v xml:space="preserve">    Ресторан восточной кухни</v>
      </c>
      <c r="B42" s="135"/>
      <c r="C42" s="175" t="str">
        <f t="shared" ca="1" si="3"/>
        <v>$</v>
      </c>
      <c r="D42" s="135" t="s">
        <v>1316</v>
      </c>
      <c r="E42" s="135"/>
      <c r="F42" s="136">
        <f>Проект!F$849</f>
        <v>0</v>
      </c>
      <c r="G42" s="136">
        <f ca="1">Проект!G$849</f>
        <v>0</v>
      </c>
      <c r="H42" s="136">
        <f ca="1">Проект!H$849</f>
        <v>0</v>
      </c>
      <c r="I42" s="136">
        <f ca="1">Проект!I$849</f>
        <v>0</v>
      </c>
      <c r="J42" s="136">
        <f ca="1">Проект!J$849</f>
        <v>0</v>
      </c>
      <c r="K42" s="136">
        <f ca="1">Проект!K$849</f>
        <v>0</v>
      </c>
      <c r="L42" s="136"/>
      <c r="M42" s="134">
        <f t="shared" ca="1" si="4"/>
        <v>0</v>
      </c>
    </row>
    <row r="43" spans="1:13" outlineLevel="1" collapsed="1">
      <c r="A43" s="32" t="str">
        <f ca="1">OFFSET(Язык!$A$419,0,LANGUAGE)</f>
        <v>Дивиденды по обыкновенным акциям</v>
      </c>
      <c r="C43" s="132" t="str">
        <f t="shared" ca="1" si="3"/>
        <v>$</v>
      </c>
      <c r="D43" s="1" t="s">
        <v>1315</v>
      </c>
      <c r="F43" s="134">
        <f ca="1">IF($B14=1,G87*IF(Проект!F27&gt;Проект!$B852,Проект!$B853,0),SUMPRODUCT($B7:OFFSET($B8,-1,0),F44:OFFSET(F45,-1,0))+$B$9*Компания!F254)</f>
        <v>0</v>
      </c>
      <c r="G43" s="134">
        <f ca="1">IF($B14=1,H87*IF(Проект!G27&gt;Проект!$B852,Проект!$B853,0),SUMPRODUCT($B7:OFFSET($B8,-1,0),G44:OFFSET(G45,-1,0))+$B$9*Компания!G254)</f>
        <v>0</v>
      </c>
      <c r="H43" s="134">
        <f ca="1">IF($B14=1,I87*IF(Проект!H27&gt;Проект!$B852,Проект!$B853,0),SUMPRODUCT($B7:OFFSET($B8,-1,0),H44:OFFSET(H45,-1,0))+$B$9*Компания!H254)</f>
        <v>0</v>
      </c>
      <c r="I43" s="134">
        <f ca="1">IF($B14=1,J87*IF(Проект!I27&gt;Проект!$B852,Проект!$B853,0),SUMPRODUCT($B7:OFFSET($B8,-1,0),I44:OFFSET(I45,-1,0))+$B$9*Компания!I254)</f>
        <v>0</v>
      </c>
      <c r="J43" s="134">
        <f ca="1">IF($B14=1,#REF!*IF(Проект!J27&gt;Проект!$B852,Проект!$B853,0),SUMPRODUCT($B7:OFFSET($B8,-1,0),J44:OFFSET(J45,-1,0))+$B$9*Компания!J254)</f>
        <v>0</v>
      </c>
      <c r="K43" s="134">
        <f ca="1">IF($B14=1,#REF!*IF(Проект!K27&gt;Проект!$B852,Проект!$B853,0),SUMPRODUCT($B7:OFFSET($B8,-1,0),K44:OFFSET(K45,-1,0))+$B$9*Компания!K254)</f>
        <v>0</v>
      </c>
      <c r="L43" s="134"/>
      <c r="M43" s="134">
        <f t="shared" ca="1" si="4"/>
        <v>0</v>
      </c>
    </row>
    <row r="44" spans="1:13" hidden="1" outlineLevel="2">
      <c r="A44" s="13" t="str">
        <f>A7</f>
        <v xml:space="preserve">    Ресторан восточной кухни</v>
      </c>
      <c r="B44" s="135"/>
      <c r="C44" s="175" t="str">
        <f t="shared" ca="1" si="3"/>
        <v>$</v>
      </c>
      <c r="D44" s="135" t="s">
        <v>1316</v>
      </c>
      <c r="E44" s="135"/>
      <c r="F44" s="136">
        <f>Проект!F$851</f>
        <v>0</v>
      </c>
      <c r="G44" s="136">
        <f ca="1">Проект!G$851</f>
        <v>0</v>
      </c>
      <c r="H44" s="136">
        <f ca="1">Проект!H$851</f>
        <v>0</v>
      </c>
      <c r="I44" s="136">
        <f ca="1">Проект!I$851</f>
        <v>0</v>
      </c>
      <c r="J44" s="136">
        <f ca="1">Проект!J$851</f>
        <v>0</v>
      </c>
      <c r="K44" s="136">
        <f ca="1">Проект!K$851</f>
        <v>0</v>
      </c>
      <c r="L44" s="136"/>
      <c r="M44" s="134">
        <f t="shared" ca="1" si="4"/>
        <v>0</v>
      </c>
    </row>
    <row r="45" spans="1:13" outlineLevel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</row>
    <row r="46" spans="1:13" ht="12" outlineLevel="1" thickBot="1"/>
    <row r="47" spans="1:13" s="2" customFormat="1" ht="15.95" customHeight="1" thickTop="1" thickBot="1">
      <c r="A47" s="18" t="str">
        <f ca="1">OFFSET(Язык!$A$375,0,LANGUAGE)</f>
        <v>ОТЧЕТ О ПРИБЫЛЯХ И УБЫТКАХ</v>
      </c>
      <c r="B47" s="19"/>
      <c r="C47" s="19"/>
      <c r="D47" s="18"/>
      <c r="E47" s="18"/>
      <c r="F47" s="19" t="str">
        <f t="shared" ref="F47:K47" si="5">PeriodTitle</f>
        <v>"0"</v>
      </c>
      <c r="G47" s="19">
        <f t="shared" si="5"/>
        <v>2013</v>
      </c>
      <c r="H47" s="19">
        <f t="shared" si="5"/>
        <v>2014</v>
      </c>
      <c r="I47" s="19">
        <f t="shared" si="5"/>
        <v>2015</v>
      </c>
      <c r="J47" s="19">
        <f t="shared" si="5"/>
        <v>2016</v>
      </c>
      <c r="K47" s="19">
        <f t="shared" si="5"/>
        <v>2017</v>
      </c>
      <c r="L47" s="19"/>
      <c r="M47" s="23" t="str">
        <f ca="1">OFFSET(Язык!$A$77,0,LANGUAGE)</f>
        <v>ИТОГО</v>
      </c>
    </row>
    <row r="48" spans="1:13" ht="12" outlineLevel="1" thickTop="1"/>
    <row r="49" spans="1:13" outlineLevel="1" collapsed="1">
      <c r="A49" s="133" t="str">
        <f ca="1">OFFSET(Язык!$A$376,0,LANGUAGE)</f>
        <v>Выручка (нетто)</v>
      </c>
      <c r="C49" s="132">
        <f t="shared" ref="C49:C94" si="6">CUR_Report</f>
        <v>0</v>
      </c>
      <c r="D49" s="1" t="s">
        <v>1315</v>
      </c>
      <c r="F49" s="134">
        <f ca="1">SUMPRODUCT($B7:OFFSET($B8,-1,0),F50:OFFSET(F51,-1,0))+$B$9*Компания!F206/IF(CUR_I_Report=2,Проект!F$98,1)</f>
        <v>0</v>
      </c>
      <c r="G49" s="134">
        <f ca="1">SUMPRODUCT($B7:OFFSET($B8,-1,0),G50:OFFSET(G51,-1,0))+$B$9*Компания!G206/IF(CUR_I_Report=2,Проект!G$98,1)</f>
        <v>2272098.2142857141</v>
      </c>
      <c r="H49" s="134">
        <f ca="1">SUMPRODUCT($B7:OFFSET($B8,-1,0),H50:OFFSET(H51,-1,0))+$B$9*Компания!H206/IF(CUR_I_Report=2,Проект!H$98,1)</f>
        <v>4998616.0714285718</v>
      </c>
      <c r="I49" s="134">
        <f ca="1">SUMPRODUCT($B7:OFFSET($B8,-1,0),I50:OFFSET(I51,-1,0))+$B$9*Компания!I206/IF(CUR_I_Report=2,Проект!I$98,1)</f>
        <v>5498477.6785714291</v>
      </c>
      <c r="J49" s="134">
        <f ca="1">SUMPRODUCT($B7:OFFSET($B8,-1,0),J50:OFFSET(J51,-1,0))+$B$9*Компания!J206/IF(CUR_I_Report=2,Проект!J$98,1)</f>
        <v>6048325.4464285728</v>
      </c>
      <c r="K49" s="134">
        <f ca="1">SUMPRODUCT($B7:OFFSET($B8,-1,0),K50:OFFSET(K51,-1,0))+$B$9*Компания!K206/IF(CUR_I_Report=2,Проект!K$98,1)</f>
        <v>6653157.991071431</v>
      </c>
      <c r="L49" s="134"/>
      <c r="M49" s="134">
        <f t="shared" ref="M49:M92" ca="1" si="7">SUM(F49:K49)</f>
        <v>25470675.401785716</v>
      </c>
    </row>
    <row r="50" spans="1:13" hidden="1" outlineLevel="2">
      <c r="A50" s="13" t="str">
        <f>A7</f>
        <v xml:space="preserve">    Ресторан восточной кухни</v>
      </c>
      <c r="B50" s="135"/>
      <c r="C50" s="132">
        <f t="shared" si="6"/>
        <v>0</v>
      </c>
      <c r="D50" s="135" t="s">
        <v>1316</v>
      </c>
      <c r="E50" s="135"/>
      <c r="F50" s="136">
        <f>Проект!F$750</f>
        <v>0</v>
      </c>
      <c r="G50" s="136">
        <f>Проект!G$750</f>
        <v>2272098.2142857141</v>
      </c>
      <c r="H50" s="136">
        <f>Проект!H$750</f>
        <v>4998616.0714285718</v>
      </c>
      <c r="I50" s="136">
        <f>Проект!I$750</f>
        <v>5498477.6785714291</v>
      </c>
      <c r="J50" s="136">
        <f>Проект!J$750</f>
        <v>6048325.4464285728</v>
      </c>
      <c r="K50" s="136">
        <f>Проект!K$750</f>
        <v>6653157.991071431</v>
      </c>
      <c r="L50" s="136"/>
      <c r="M50" s="136">
        <f t="shared" si="7"/>
        <v>25470675.401785716</v>
      </c>
    </row>
    <row r="51" spans="1:13" outlineLevel="1" collapsed="1">
      <c r="A51" s="45" t="str">
        <f ca="1">OFFSET(Язык!$A$377,0,LANGUAGE)</f>
        <v xml:space="preserve"> -  Себестоимость проданных товаров</v>
      </c>
      <c r="C51" s="132">
        <f t="shared" si="6"/>
        <v>0</v>
      </c>
      <c r="D51" s="1" t="s">
        <v>1315</v>
      </c>
      <c r="F51" s="134">
        <f ca="1">SUMPRODUCT($B7:OFFSET($B8,-1,0),F52:OFFSET(F53,-1,0))+$B$9*Компания!F207/IF(CUR_I_Report=2,Проект!F$98,1)</f>
        <v>0</v>
      </c>
      <c r="G51" s="134">
        <f ca="1">SUMPRODUCT($B7:OFFSET($B8,-1,0),G52:OFFSET(G53,-1,0))+$B$9*Компания!G207/IF(CUR_I_Report=2,Проект!G$98,1)</f>
        <v>1407829.1785714284</v>
      </c>
      <c r="H51" s="134">
        <f ca="1">SUMPRODUCT($B7:OFFSET($B8,-1,0),H52:OFFSET(H53,-1,0))+$B$9*Компания!H207/IF(CUR_I_Report=2,Проект!H$98,1)</f>
        <v>3237025.2357142856</v>
      </c>
      <c r="I51" s="134">
        <f ca="1">SUMPRODUCT($B7:OFFSET($B8,-1,0),I52:OFFSET(I53,-1,0))+$B$9*Компания!I207/IF(CUR_I_Report=2,Проект!I$98,1)</f>
        <v>3950270.9028571425</v>
      </c>
      <c r="J51" s="134">
        <f ca="1">SUMPRODUCT($B7:OFFSET($B8,-1,0),J52:OFFSET(J53,-1,0))+$B$9*Компания!J207/IF(CUR_I_Report=2,Проект!J$98,1)</f>
        <v>4314966.2967142854</v>
      </c>
      <c r="K51" s="134">
        <f ca="1">SUMPRODUCT($B7:OFFSET($B8,-1,0),K52:OFFSET(K53,-1,0))+$B$9*Компания!K207/IF(CUR_I_Report=2,Проект!K$98,1)</f>
        <v>4716131.2299571438</v>
      </c>
      <c r="L51" s="134"/>
      <c r="M51" s="134">
        <f t="shared" ca="1" si="7"/>
        <v>17626222.843814284</v>
      </c>
    </row>
    <row r="52" spans="1:13" hidden="1" outlineLevel="2">
      <c r="A52" s="13" t="str">
        <f>A7</f>
        <v xml:space="preserve">    Ресторан восточной кухни</v>
      </c>
      <c r="B52" s="135"/>
      <c r="C52" s="132">
        <f t="shared" si="6"/>
        <v>0</v>
      </c>
      <c r="D52" s="135" t="s">
        <v>1316</v>
      </c>
      <c r="E52" s="135"/>
      <c r="F52" s="136">
        <f>Проект!F$751</f>
        <v>0</v>
      </c>
      <c r="G52" s="136">
        <f ca="1">Проект!G$751</f>
        <v>1407829.1785714284</v>
      </c>
      <c r="H52" s="136">
        <f ca="1">Проект!H$751</f>
        <v>3237025.2357142856</v>
      </c>
      <c r="I52" s="136">
        <f ca="1">Проект!I$751</f>
        <v>3950270.9028571425</v>
      </c>
      <c r="J52" s="136">
        <f ca="1">Проект!J$751</f>
        <v>4314966.2967142854</v>
      </c>
      <c r="K52" s="136">
        <f ca="1">Проект!K$751</f>
        <v>4716131.2299571438</v>
      </c>
      <c r="L52" s="136"/>
      <c r="M52" s="136">
        <f t="shared" ca="1" si="7"/>
        <v>17626222.843814284</v>
      </c>
    </row>
    <row r="53" spans="1:13" outlineLevel="1" collapsed="1">
      <c r="A53" s="45" t="str">
        <f ca="1">OFFSET(Язык!$A$378,0,LANGUAGE)</f>
        <v xml:space="preserve">    материалы и комплектующие</v>
      </c>
      <c r="C53" s="132">
        <f t="shared" si="6"/>
        <v>0</v>
      </c>
      <c r="D53" s="1" t="s">
        <v>1315</v>
      </c>
      <c r="F53" s="134">
        <f ca="1">SUMPRODUCT($B7:OFFSET($B8,-1,0),F54:OFFSET(F55,-1,0))+$B$9*Компания!F208/IF(CUR_I_Report=2,Проект!F$98,1)</f>
        <v>0</v>
      </c>
      <c r="G53" s="134">
        <f ca="1">SUMPRODUCT($B7:OFFSET($B8,-1,0),G54:OFFSET(G55,-1,0))+$B$9*Компания!G208/IF(CUR_I_Report=2,Проект!G$98,1)</f>
        <v>1305803.5714285714</v>
      </c>
      <c r="H53" s="134">
        <f ca="1">SUMPRODUCT($B7:OFFSET($B8,-1,0),H54:OFFSET(H55,-1,0))+$B$9*Компания!H208/IF(CUR_I_Report=2,Проект!H$98,1)</f>
        <v>2872767.8571428568</v>
      </c>
      <c r="I53" s="134">
        <f ca="1">SUMPRODUCT($B7:OFFSET($B8,-1,0),I54:OFFSET(I55,-1,0))+$B$9*Компания!I208/IF(CUR_I_Report=2,Проект!I$98,1)</f>
        <v>3160044.6428571427</v>
      </c>
      <c r="J53" s="134">
        <f ca="1">SUMPRODUCT($B7:OFFSET($B8,-1,0),J54:OFFSET(J55,-1,0))+$B$9*Компания!J208/IF(CUR_I_Report=2,Проект!J$98,1)</f>
        <v>3476049.1071428573</v>
      </c>
      <c r="K53" s="134">
        <f ca="1">SUMPRODUCT($B7:OFFSET($B8,-1,0),K54:OFFSET(K55,-1,0))+$B$9*Компания!K208/IF(CUR_I_Report=2,Проект!K$98,1)</f>
        <v>3823654.0178571437</v>
      </c>
      <c r="L53" s="134"/>
      <c r="M53" s="134">
        <f t="shared" ca="1" si="7"/>
        <v>14638319.196428573</v>
      </c>
    </row>
    <row r="54" spans="1:13" hidden="1" outlineLevel="2">
      <c r="A54" s="13" t="str">
        <f>A7</f>
        <v xml:space="preserve">    Ресторан восточной кухни</v>
      </c>
      <c r="B54" s="135"/>
      <c r="C54" s="132">
        <f t="shared" si="6"/>
        <v>0</v>
      </c>
      <c r="D54" s="135" t="s">
        <v>1316</v>
      </c>
      <c r="E54" s="135"/>
      <c r="F54" s="136">
        <f>Проект!F$752</f>
        <v>0</v>
      </c>
      <c r="G54" s="136">
        <f>Проект!G$752</f>
        <v>1305803.5714285714</v>
      </c>
      <c r="H54" s="136">
        <f>Проект!H$752</f>
        <v>2872767.8571428568</v>
      </c>
      <c r="I54" s="136">
        <f>Проект!I$752</f>
        <v>3160044.6428571427</v>
      </c>
      <c r="J54" s="136">
        <f>Проект!J$752</f>
        <v>3476049.1071428573</v>
      </c>
      <c r="K54" s="136">
        <f>Проект!K$752</f>
        <v>3823654.0178571437</v>
      </c>
      <c r="L54" s="136"/>
      <c r="M54" s="136">
        <f t="shared" si="7"/>
        <v>14638319.196428573</v>
      </c>
    </row>
    <row r="55" spans="1:13" outlineLevel="1" collapsed="1">
      <c r="A55" s="45" t="str">
        <f ca="1">OFFSET(Язык!$A$379,0,LANGUAGE)</f>
        <v xml:space="preserve">    оплата труда</v>
      </c>
      <c r="C55" s="132">
        <f t="shared" si="6"/>
        <v>0</v>
      </c>
      <c r="D55" s="1" t="s">
        <v>1315</v>
      </c>
      <c r="F55" s="134">
        <f ca="1">SUMPRODUCT($B7:OFFSET($B8,-1,0),F56:OFFSET(F57,-1,0))+$B$9*Компания!F209/IF(CUR_I_Report=2,Проект!F$98,1)</f>
        <v>0</v>
      </c>
      <c r="G55" s="134">
        <f ca="1">SUMPRODUCT($B7:OFFSET($B8,-1,0),G56:OFFSET(G57,-1,0))+$B$9*Компания!G209/IF(CUR_I_Report=2,Проект!G$98,1)</f>
        <v>78900</v>
      </c>
      <c r="H55" s="134">
        <f ca="1">SUMPRODUCT($B7:OFFSET($B8,-1,0),H56:OFFSET(H57,-1,0))+$B$9*Компания!H209/IF(CUR_I_Report=2,Проект!H$98,1)</f>
        <v>44220</v>
      </c>
      <c r="I55" s="134">
        <f ca="1">SUMPRODUCT($B7:OFFSET($B8,-1,0),I56:OFFSET(I57,-1,0))+$B$9*Компания!I209/IF(CUR_I_Report=2,Проект!I$98,1)</f>
        <v>381876</v>
      </c>
      <c r="J55" s="134">
        <f ca="1">SUMPRODUCT($B7:OFFSET($B8,-1,0),J56:OFFSET(J57,-1,0))+$B$9*Компания!J209/IF(CUR_I_Report=2,Проект!J$98,1)</f>
        <v>420063.60000000003</v>
      </c>
      <c r="K55" s="134">
        <f ca="1">SUMPRODUCT($B7:OFFSET($B8,-1,0),K56:OFFSET(K57,-1,0))+$B$9*Компания!K209/IF(CUR_I_Report=2,Проект!K$98,1)</f>
        <v>462069.96</v>
      </c>
      <c r="L55" s="134"/>
      <c r="M55" s="134">
        <f t="shared" ca="1" si="7"/>
        <v>1387129.56</v>
      </c>
    </row>
    <row r="56" spans="1:13" hidden="1" outlineLevel="2">
      <c r="A56" s="13" t="str">
        <f>A7</f>
        <v xml:space="preserve">    Ресторан восточной кухни</v>
      </c>
      <c r="B56" s="135"/>
      <c r="C56" s="132">
        <f t="shared" si="6"/>
        <v>0</v>
      </c>
      <c r="D56" s="135" t="s">
        <v>1316</v>
      </c>
      <c r="E56" s="135"/>
      <c r="F56" s="136">
        <f>Проект!F$753</f>
        <v>0</v>
      </c>
      <c r="G56" s="136">
        <f ca="1">Проект!G$753</f>
        <v>78900</v>
      </c>
      <c r="H56" s="136">
        <f>Проект!H$753</f>
        <v>44220</v>
      </c>
      <c r="I56" s="136">
        <f ca="1">Проект!I$753</f>
        <v>381876</v>
      </c>
      <c r="J56" s="136">
        <f ca="1">Проект!J$753</f>
        <v>420063.60000000003</v>
      </c>
      <c r="K56" s="136">
        <f ca="1">Проект!K$753</f>
        <v>462069.96</v>
      </c>
      <c r="L56" s="136"/>
      <c r="M56" s="136">
        <f t="shared" ca="1" si="7"/>
        <v>1387129.56</v>
      </c>
    </row>
    <row r="57" spans="1:13" outlineLevel="1" collapsed="1">
      <c r="A57" s="45" t="str">
        <f ca="1">OFFSET(Язык!$A$380,0,LANGUAGE)</f>
        <v xml:space="preserve">    налоги, относимые на текущие затраты</v>
      </c>
      <c r="C57" s="132">
        <f t="shared" si="6"/>
        <v>0</v>
      </c>
      <c r="D57" s="1" t="s">
        <v>1315</v>
      </c>
      <c r="F57" s="134">
        <f ca="1">SUMPRODUCT($B7:OFFSET($B8,-1,0),F58:OFFSET(F59,-1,0))+$B$9*Компания!F210/IF(CUR_I_Report=2,Проект!F$98,1)</f>
        <v>0</v>
      </c>
      <c r="G57" s="134">
        <f ca="1">SUMPRODUCT($B7:OFFSET($B8,-1,0),G58:OFFSET(G59,-1,0))+$B$9*Компания!G210/IF(CUR_I_Report=2,Проект!G$98,1)</f>
        <v>20514</v>
      </c>
      <c r="H57" s="134">
        <f ca="1">SUMPRODUCT($B7:OFFSET($B8,-1,0),H58:OFFSET(H59,-1,0))+$B$9*Компания!H210/IF(CUR_I_Report=2,Проект!H$98,1)</f>
        <v>11497.2</v>
      </c>
      <c r="I57" s="134">
        <f ca="1">SUMPRODUCT($B7:OFFSET($B8,-1,0),I58:OFFSET(I59,-1,0))+$B$9*Компания!I210/IF(CUR_I_Report=2,Проект!I$98,1)</f>
        <v>99287.76</v>
      </c>
      <c r="J57" s="134">
        <f ca="1">SUMPRODUCT($B7:OFFSET($B8,-1,0),J58:OFFSET(J59,-1,0))+$B$9*Компания!J210/IF(CUR_I_Report=2,Проект!J$98,1)</f>
        <v>109216.53600000002</v>
      </c>
      <c r="K57" s="134">
        <f ca="1">SUMPRODUCT($B7:OFFSET($B8,-1,0),K58:OFFSET(K59,-1,0))+$B$9*Компания!K210/IF(CUR_I_Report=2,Проект!K$98,1)</f>
        <v>120138.1896</v>
      </c>
      <c r="L57" s="134"/>
      <c r="M57" s="134">
        <f t="shared" ca="1" si="7"/>
        <v>360653.68560000003</v>
      </c>
    </row>
    <row r="58" spans="1:13" hidden="1" outlineLevel="2">
      <c r="A58" s="13" t="str">
        <f>A7</f>
        <v xml:space="preserve">    Ресторан восточной кухни</v>
      </c>
      <c r="B58" s="135"/>
      <c r="C58" s="132">
        <f t="shared" si="6"/>
        <v>0</v>
      </c>
      <c r="D58" s="135" t="s">
        <v>1316</v>
      </c>
      <c r="E58" s="135"/>
      <c r="F58" s="136">
        <f>Проект!F$754</f>
        <v>0</v>
      </c>
      <c r="G58" s="136">
        <f ca="1">Проект!G$754</f>
        <v>20514</v>
      </c>
      <c r="H58" s="136">
        <f>Проект!H$754</f>
        <v>11497.2</v>
      </c>
      <c r="I58" s="136">
        <f ca="1">Проект!I$754</f>
        <v>99287.76</v>
      </c>
      <c r="J58" s="136">
        <f ca="1">Проект!J$754</f>
        <v>109216.53600000002</v>
      </c>
      <c r="K58" s="136">
        <f ca="1">Проект!K$754</f>
        <v>120138.1896</v>
      </c>
      <c r="L58" s="136"/>
      <c r="M58" s="136">
        <f t="shared" ca="1" si="7"/>
        <v>360653.68560000003</v>
      </c>
    </row>
    <row r="59" spans="1:13" outlineLevel="1" collapsed="1">
      <c r="A59" s="45" t="str">
        <f ca="1">OFFSET(Язык!$A$381,0,LANGUAGE)</f>
        <v xml:space="preserve">    производственные расходы</v>
      </c>
      <c r="C59" s="132">
        <f t="shared" si="6"/>
        <v>0</v>
      </c>
      <c r="D59" s="1" t="s">
        <v>1315</v>
      </c>
      <c r="F59" s="134">
        <f ca="1">SUMPRODUCT($B7:OFFSET($B8,-1,0),F60:OFFSET(F61,-1,0))+$B$9*Компания!F211/IF(CUR_I_Report=2,Проект!F$98,1)</f>
        <v>0</v>
      </c>
      <c r="G59" s="134">
        <f ca="1">SUMPRODUCT($B7:OFFSET($B8,-1,0),G60:OFFSET(G61,-1,0))+$B$9*Компания!G211/IF(CUR_I_Report=2,Проект!G$98,1)</f>
        <v>2611.6071428571431</v>
      </c>
      <c r="H59" s="134">
        <f ca="1">SUMPRODUCT($B7:OFFSET($B8,-1,0),H60:OFFSET(H61,-1,0))+$B$9*Компания!H211/IF(CUR_I_Report=2,Проект!H$98,1)</f>
        <v>5223.2142857142862</v>
      </c>
      <c r="I59" s="134">
        <f ca="1">SUMPRODUCT($B7:OFFSET($B8,-1,0),I60:OFFSET(I61,-1,0))+$B$9*Компания!I211/IF(CUR_I_Report=2,Проект!I$98,1)</f>
        <v>5745.5357142857156</v>
      </c>
      <c r="J59" s="134">
        <f ca="1">SUMPRODUCT($B7:OFFSET($B8,-1,0),J60:OFFSET(J61,-1,0))+$B$9*Компания!J211/IF(CUR_I_Report=2,Проект!J$98,1)</f>
        <v>6320.0892857142871</v>
      </c>
      <c r="K59" s="134">
        <f ca="1">SUMPRODUCT($B7:OFFSET($B8,-1,0),K60:OFFSET(K61,-1,0))+$B$9*Компания!K211/IF(CUR_I_Report=2,Проект!K$98,1)</f>
        <v>6952.0982142857165</v>
      </c>
      <c r="L59" s="134"/>
      <c r="M59" s="134">
        <f t="shared" ca="1" si="7"/>
        <v>26852.544642857149</v>
      </c>
    </row>
    <row r="60" spans="1:13" hidden="1" outlineLevel="2">
      <c r="A60" s="13" t="str">
        <f>A7</f>
        <v xml:space="preserve">    Ресторан восточной кухни</v>
      </c>
      <c r="B60" s="135"/>
      <c r="C60" s="132">
        <f t="shared" si="6"/>
        <v>0</v>
      </c>
      <c r="D60" s="135" t="s">
        <v>1316</v>
      </c>
      <c r="E60" s="135"/>
      <c r="F60" s="136">
        <f>Проект!F$755</f>
        <v>0</v>
      </c>
      <c r="G60" s="136">
        <f>Проект!G$755</f>
        <v>2611.6071428571431</v>
      </c>
      <c r="H60" s="136">
        <f>Проект!H$755</f>
        <v>5223.2142857142862</v>
      </c>
      <c r="I60" s="136">
        <f>Проект!I$755</f>
        <v>5745.5357142857156</v>
      </c>
      <c r="J60" s="136">
        <f>Проект!J$755</f>
        <v>6320.0892857142871</v>
      </c>
      <c r="K60" s="136">
        <f>Проект!K$755</f>
        <v>6952.0982142857165</v>
      </c>
      <c r="L60" s="136"/>
      <c r="M60" s="136">
        <f t="shared" si="7"/>
        <v>26852.544642857149</v>
      </c>
    </row>
    <row r="61" spans="1:13" outlineLevel="1" collapsed="1">
      <c r="A61" s="45" t="str">
        <f ca="1">OFFSET(Язык!$A$382,0,LANGUAGE)</f>
        <v xml:space="preserve">    начисленные лизинговые платежи</v>
      </c>
      <c r="C61" s="132">
        <f t="shared" si="6"/>
        <v>0</v>
      </c>
      <c r="D61" s="1" t="s">
        <v>1315</v>
      </c>
      <c r="F61" s="134">
        <f ca="1">SUMPRODUCT($B7:OFFSET($B8,-1,0),F62:OFFSET(F63,-1,0))+$B$9*Компания!F212/IF(CUR_I_Report=2,Проект!F$98,1)</f>
        <v>0</v>
      </c>
      <c r="G61" s="134">
        <f ca="1">SUMPRODUCT($B7:OFFSET($B8,-1,0),G62:OFFSET(G63,-1,0))+$B$9*Компания!G212/IF(CUR_I_Report=2,Проект!G$98,1)</f>
        <v>0</v>
      </c>
      <c r="H61" s="134">
        <f ca="1">SUMPRODUCT($B7:OFFSET($B8,-1,0),H62:OFFSET(H63,-1,0))+$B$9*Компания!H212/IF(CUR_I_Report=2,Проект!H$98,1)</f>
        <v>0</v>
      </c>
      <c r="I61" s="134">
        <f ca="1">SUMPRODUCT($B7:OFFSET($B8,-1,0),I62:OFFSET(I63,-1,0))+$B$9*Компания!I212/IF(CUR_I_Report=2,Проект!I$98,1)</f>
        <v>0</v>
      </c>
      <c r="J61" s="134">
        <f ca="1">SUMPRODUCT($B7:OFFSET($B8,-1,0),J62:OFFSET(J63,-1,0))+$B$9*Компания!J212/IF(CUR_I_Report=2,Проект!J$98,1)</f>
        <v>0</v>
      </c>
      <c r="K61" s="134">
        <f ca="1">SUMPRODUCT($B7:OFFSET($B8,-1,0),K62:OFFSET(K63,-1,0))+$B$9*Компания!K212/IF(CUR_I_Report=2,Проект!K$98,1)</f>
        <v>0</v>
      </c>
      <c r="L61" s="134"/>
      <c r="M61" s="134">
        <f t="shared" ca="1" si="7"/>
        <v>0</v>
      </c>
    </row>
    <row r="62" spans="1:13" hidden="1" outlineLevel="2">
      <c r="A62" s="13" t="str">
        <f>A7</f>
        <v xml:space="preserve">    Ресторан восточной кухни</v>
      </c>
      <c r="B62" s="135"/>
      <c r="C62" s="132">
        <f t="shared" si="6"/>
        <v>0</v>
      </c>
      <c r="D62" s="135" t="s">
        <v>1316</v>
      </c>
      <c r="E62" s="135"/>
      <c r="F62" s="136">
        <f>Проект!F$756</f>
        <v>0</v>
      </c>
      <c r="G62" s="136">
        <f ca="1">Проект!G$756</f>
        <v>0</v>
      </c>
      <c r="H62" s="136">
        <f ca="1">Проект!H$756</f>
        <v>0</v>
      </c>
      <c r="I62" s="136">
        <f ca="1">Проект!I$756</f>
        <v>0</v>
      </c>
      <c r="J62" s="136">
        <f ca="1">Проект!J$756</f>
        <v>0</v>
      </c>
      <c r="K62" s="136">
        <f ca="1">Проект!K$756</f>
        <v>0</v>
      </c>
      <c r="L62" s="136"/>
      <c r="M62" s="136">
        <f t="shared" ca="1" si="7"/>
        <v>0</v>
      </c>
    </row>
    <row r="63" spans="1:13" outlineLevel="1" collapsed="1">
      <c r="A63" s="45" t="str">
        <f ca="1">OFFSET(Язык!$A$383,0,LANGUAGE)</f>
        <v xml:space="preserve">    амортизация</v>
      </c>
      <c r="C63" s="132">
        <f t="shared" si="6"/>
        <v>0</v>
      </c>
      <c r="D63" s="1" t="s">
        <v>1315</v>
      </c>
      <c r="F63" s="134">
        <f ca="1">SUMPRODUCT($B7:OFFSET($B8,-1,0),F64:OFFSET(F65,-1,0))+$B$9*Компания!F213/IF(CUR_I_Report=2,Проект!F$98,1)</f>
        <v>0</v>
      </c>
      <c r="G63" s="134">
        <f ca="1">SUMPRODUCT($B7:OFFSET($B8,-1,0),G64:OFFSET(G65,-1,0))+$B$9*Компания!G213/IF(CUR_I_Report=2,Проект!G$98,1)</f>
        <v>0</v>
      </c>
      <c r="H63" s="134">
        <f ca="1">SUMPRODUCT($B7:OFFSET($B8,-1,0),H64:OFFSET(H65,-1,0))+$B$9*Компания!H213/IF(CUR_I_Report=2,Проект!H$98,1)</f>
        <v>303316.96428571432</v>
      </c>
      <c r="I63" s="134">
        <f ca="1">SUMPRODUCT($B7:OFFSET($B8,-1,0),I64:OFFSET(I65,-1,0))+$B$9*Компания!I213/IF(CUR_I_Report=2,Проект!I$98,1)</f>
        <v>303316.96428571432</v>
      </c>
      <c r="J63" s="134">
        <f ca="1">SUMPRODUCT($B7:OFFSET($B8,-1,0),J64:OFFSET(J65,-1,0))+$B$9*Компания!J213/IF(CUR_I_Report=2,Проект!J$98,1)</f>
        <v>303316.96428571432</v>
      </c>
      <c r="K63" s="134">
        <f ca="1">SUMPRODUCT($B7:OFFSET($B8,-1,0),K64:OFFSET(K65,-1,0))+$B$9*Компания!K213/IF(CUR_I_Report=2,Проект!K$98,1)</f>
        <v>303316.96428571432</v>
      </c>
      <c r="L63" s="134"/>
      <c r="M63" s="134">
        <f t="shared" ca="1" si="7"/>
        <v>1213267.8571428573</v>
      </c>
    </row>
    <row r="64" spans="1:13" hidden="1" outlineLevel="2">
      <c r="A64" s="13" t="str">
        <f>A7</f>
        <v xml:space="preserve">    Ресторан восточной кухни</v>
      </c>
      <c r="B64" s="135"/>
      <c r="C64" s="132">
        <f t="shared" si="6"/>
        <v>0</v>
      </c>
      <c r="D64" s="135" t="s">
        <v>1316</v>
      </c>
      <c r="E64" s="135"/>
      <c r="F64" s="136">
        <f>Проект!F$757</f>
        <v>0</v>
      </c>
      <c r="G64" s="136">
        <f ca="1">Проект!G$757</f>
        <v>0</v>
      </c>
      <c r="H64" s="136">
        <f ca="1">Проект!H$757</f>
        <v>303316.96428571432</v>
      </c>
      <c r="I64" s="136">
        <f ca="1">Проект!I$757</f>
        <v>303316.96428571432</v>
      </c>
      <c r="J64" s="136">
        <f ca="1">Проект!J$757</f>
        <v>303316.96428571432</v>
      </c>
      <c r="K64" s="136">
        <f ca="1">Проект!K$757</f>
        <v>303316.96428571432</v>
      </c>
      <c r="L64" s="136"/>
      <c r="M64" s="136">
        <f t="shared" ca="1" si="7"/>
        <v>1213267.8571428573</v>
      </c>
    </row>
    <row r="65" spans="1:13" outlineLevel="1" collapsed="1">
      <c r="A65" s="133" t="str">
        <f ca="1">OFFSET(Язык!$A$384,0,LANGUAGE)</f>
        <v>Валовая прибыль</v>
      </c>
      <c r="C65" s="132">
        <f t="shared" si="6"/>
        <v>0</v>
      </c>
      <c r="D65" s="1" t="s">
        <v>1315</v>
      </c>
      <c r="F65" s="134">
        <f ca="1">SUMPRODUCT($B7:OFFSET($B8,-1,0),F66:OFFSET(F67,-1,0))+$B$9*Компания!F214/IF(CUR_I_Report=2,Проект!F$98,1)</f>
        <v>0</v>
      </c>
      <c r="G65" s="134">
        <f ca="1">SUMPRODUCT($B7:OFFSET($B8,-1,0),G66:OFFSET(G67,-1,0))+$B$9*Компания!G214/IF(CUR_I_Report=2,Проект!G$98,1)</f>
        <v>864269.03571428568</v>
      </c>
      <c r="H65" s="134">
        <f ca="1">SUMPRODUCT($B7:OFFSET($B8,-1,0),H66:OFFSET(H67,-1,0))+$B$9*Компания!H214/IF(CUR_I_Report=2,Проект!H$98,1)</f>
        <v>1761590.8357142862</v>
      </c>
      <c r="I65" s="134">
        <f ca="1">SUMPRODUCT($B7:OFFSET($B8,-1,0),I66:OFFSET(I67,-1,0))+$B$9*Компания!I214/IF(CUR_I_Report=2,Проект!I$98,1)</f>
        <v>1548206.7757142866</v>
      </c>
      <c r="J65" s="134">
        <f ca="1">SUMPRODUCT($B7:OFFSET($B8,-1,0),J66:OFFSET(J67,-1,0))+$B$9*Компания!J214/IF(CUR_I_Report=2,Проект!J$98,1)</f>
        <v>1733359.1497142874</v>
      </c>
      <c r="K65" s="134">
        <f ca="1">SUMPRODUCT($B7:OFFSET($B8,-1,0),K66:OFFSET(K67,-1,0))+$B$9*Компания!K214/IF(CUR_I_Report=2,Проект!K$98,1)</f>
        <v>1937026.7611142872</v>
      </c>
      <c r="L65" s="134"/>
      <c r="M65" s="134">
        <f t="shared" ca="1" si="7"/>
        <v>7844452.5579714328</v>
      </c>
    </row>
    <row r="66" spans="1:13" hidden="1" outlineLevel="2">
      <c r="A66" s="13" t="str">
        <f>A7</f>
        <v xml:space="preserve">    Ресторан восточной кухни</v>
      </c>
      <c r="B66" s="135"/>
      <c r="C66" s="132">
        <f t="shared" si="6"/>
        <v>0</v>
      </c>
      <c r="D66" s="135" t="s">
        <v>1316</v>
      </c>
      <c r="E66" s="135"/>
      <c r="F66" s="136">
        <f>Проект!F$758</f>
        <v>0</v>
      </c>
      <c r="G66" s="136">
        <f ca="1">Проект!G$758</f>
        <v>864269.03571428568</v>
      </c>
      <c r="H66" s="136">
        <f ca="1">Проект!H$758</f>
        <v>1761590.8357142862</v>
      </c>
      <c r="I66" s="136">
        <f ca="1">Проект!I$758</f>
        <v>1548206.7757142866</v>
      </c>
      <c r="J66" s="136">
        <f ca="1">Проект!J$758</f>
        <v>1733359.1497142874</v>
      </c>
      <c r="K66" s="136">
        <f ca="1">Проект!K$758</f>
        <v>1937026.7611142872</v>
      </c>
      <c r="L66" s="136"/>
      <c r="M66" s="136">
        <f t="shared" ca="1" si="7"/>
        <v>7844452.5579714328</v>
      </c>
    </row>
    <row r="67" spans="1:13" outlineLevel="1" collapsed="1">
      <c r="A67" s="45" t="str">
        <f ca="1">OFFSET(Язык!$A$385,0,LANGUAGE)</f>
        <v xml:space="preserve"> -  Коммерческие расходы</v>
      </c>
      <c r="C67" s="132">
        <f t="shared" si="6"/>
        <v>0</v>
      </c>
      <c r="D67" s="1" t="s">
        <v>1315</v>
      </c>
      <c r="F67" s="134">
        <f ca="1">SUMPRODUCT($B7:OFFSET($B8,-1,0),F68:OFFSET(F69,-1,0))+$B$9*Компания!F215/IF(CUR_I_Report=2,Проект!F$98,1)</f>
        <v>0</v>
      </c>
      <c r="G67" s="134">
        <f ca="1">SUMPRODUCT($B7:OFFSET($B8,-1,0),G68:OFFSET(G69,-1,0))+$B$9*Компания!G215/IF(CUR_I_Report=2,Проект!G$98,1)</f>
        <v>0</v>
      </c>
      <c r="H67" s="134">
        <f ca="1">SUMPRODUCT($B7:OFFSET($B8,-1,0),H68:OFFSET(H69,-1,0))+$B$9*Компания!H215/IF(CUR_I_Report=2,Проект!H$98,1)</f>
        <v>0</v>
      </c>
      <c r="I67" s="134">
        <f ca="1">SUMPRODUCT($B7:OFFSET($B8,-1,0),I68:OFFSET(I69,-1,0))+$B$9*Компания!I215/IF(CUR_I_Report=2,Проект!I$98,1)</f>
        <v>0</v>
      </c>
      <c r="J67" s="134">
        <f ca="1">SUMPRODUCT($B7:OFFSET($B8,-1,0),J68:OFFSET(J69,-1,0))+$B$9*Компания!J215/IF(CUR_I_Report=2,Проект!J$98,1)</f>
        <v>0</v>
      </c>
      <c r="K67" s="134">
        <f ca="1">SUMPRODUCT($B7:OFFSET($B8,-1,0),K68:OFFSET(K69,-1,0))+$B$9*Компания!K215/IF(CUR_I_Report=2,Проект!K$98,1)</f>
        <v>0</v>
      </c>
      <c r="L67" s="134"/>
      <c r="M67" s="134">
        <f t="shared" ca="1" si="7"/>
        <v>0</v>
      </c>
    </row>
    <row r="68" spans="1:13" hidden="1" outlineLevel="2">
      <c r="A68" s="13" t="str">
        <f>A7</f>
        <v xml:space="preserve">    Ресторан восточной кухни</v>
      </c>
      <c r="B68" s="135"/>
      <c r="C68" s="132">
        <f t="shared" si="6"/>
        <v>0</v>
      </c>
      <c r="D68" s="135" t="s">
        <v>1316</v>
      </c>
      <c r="E68" s="135"/>
      <c r="F68" s="136">
        <f>Проект!F$759</f>
        <v>0</v>
      </c>
      <c r="G68" s="136">
        <f ca="1">Проект!G$759</f>
        <v>0</v>
      </c>
      <c r="H68" s="136">
        <f ca="1">Проект!H$759</f>
        <v>0</v>
      </c>
      <c r="I68" s="136">
        <f ca="1">Проект!I$759</f>
        <v>0</v>
      </c>
      <c r="J68" s="136">
        <f ca="1">Проект!J$759</f>
        <v>0</v>
      </c>
      <c r="K68" s="136">
        <f ca="1">Проект!K$759</f>
        <v>0</v>
      </c>
      <c r="L68" s="136"/>
      <c r="M68" s="136">
        <f t="shared" ca="1" si="7"/>
        <v>0</v>
      </c>
    </row>
    <row r="69" spans="1:13" outlineLevel="1" collapsed="1">
      <c r="A69" s="45" t="str">
        <f ca="1">OFFSET(Язык!$A$386,0,LANGUAGE)</f>
        <v xml:space="preserve"> -  Административные расходы</v>
      </c>
      <c r="C69" s="132">
        <f t="shared" si="6"/>
        <v>0</v>
      </c>
      <c r="D69" s="1" t="s">
        <v>1315</v>
      </c>
      <c r="F69" s="134">
        <f ca="1">SUMPRODUCT($B7:OFFSET($B8,-1,0),F70:OFFSET(F71,-1,0))+$B$9*Компания!F216/IF(CUR_I_Report=2,Проект!F$98,1)</f>
        <v>0</v>
      </c>
      <c r="G69" s="134">
        <f ca="1">SUMPRODUCT($B7:OFFSET($B8,-1,0),G70:OFFSET(G71,-1,0))+$B$9*Компания!G216/IF(CUR_I_Report=2,Проект!G$98,1)</f>
        <v>312500</v>
      </c>
      <c r="H69" s="134">
        <f ca="1">SUMPRODUCT($B7:OFFSET($B8,-1,0),H70:OFFSET(H71,-1,0))+$B$9*Компания!H216/IF(CUR_I_Report=2,Проект!H$98,1)</f>
        <v>343750.00000000006</v>
      </c>
      <c r="I69" s="134">
        <f ca="1">SUMPRODUCT($B7:OFFSET($B8,-1,0),I70:OFFSET(I71,-1,0))+$B$9*Компания!I216/IF(CUR_I_Report=2,Проект!I$98,1)</f>
        <v>378125.00000000012</v>
      </c>
      <c r="J69" s="134">
        <f ca="1">SUMPRODUCT($B7:OFFSET($B8,-1,0),J70:OFFSET(J71,-1,0))+$B$9*Компания!J216/IF(CUR_I_Report=2,Проект!J$98,1)</f>
        <v>415937.50000000017</v>
      </c>
      <c r="K69" s="134">
        <f ca="1">SUMPRODUCT($B7:OFFSET($B8,-1,0),K70:OFFSET(K71,-1,0))+$B$9*Компания!K216/IF(CUR_I_Report=2,Проект!K$98,1)</f>
        <v>457531.25000000023</v>
      </c>
      <c r="L69" s="134"/>
      <c r="M69" s="134">
        <f t="shared" ca="1" si="7"/>
        <v>1907843.7500000005</v>
      </c>
    </row>
    <row r="70" spans="1:13" hidden="1" outlineLevel="2">
      <c r="A70" s="13" t="str">
        <f>A7</f>
        <v xml:space="preserve">    Ресторан восточной кухни</v>
      </c>
      <c r="B70" s="135"/>
      <c r="C70" s="132">
        <f t="shared" si="6"/>
        <v>0</v>
      </c>
      <c r="D70" s="135" t="s">
        <v>1316</v>
      </c>
      <c r="E70" s="135"/>
      <c r="F70" s="136">
        <f>Проект!F$760</f>
        <v>0</v>
      </c>
      <c r="G70" s="136">
        <f>Проект!G$760</f>
        <v>312500</v>
      </c>
      <c r="H70" s="136">
        <f>Проект!H$760</f>
        <v>343750.00000000006</v>
      </c>
      <c r="I70" s="136">
        <f>Проект!I$760</f>
        <v>378125.00000000012</v>
      </c>
      <c r="J70" s="136">
        <f>Проект!J$760</f>
        <v>415937.50000000017</v>
      </c>
      <c r="K70" s="136">
        <f>Проект!K$760</f>
        <v>457531.25000000023</v>
      </c>
      <c r="L70" s="136"/>
      <c r="M70" s="136">
        <f t="shared" si="7"/>
        <v>1907843.7500000005</v>
      </c>
    </row>
    <row r="71" spans="1:13" outlineLevel="1" collapsed="1">
      <c r="A71" s="133" t="str">
        <f ca="1">OFFSET(Язык!$A$387,0,LANGUAGE)</f>
        <v>Прибыль (убыток) от продаж</v>
      </c>
      <c r="C71" s="132">
        <f t="shared" si="6"/>
        <v>0</v>
      </c>
      <c r="D71" s="1" t="s">
        <v>1315</v>
      </c>
      <c r="F71" s="134">
        <f ca="1">SUMPRODUCT($B7:OFFSET($B8,-1,0),F72:OFFSET(F73,-1,0))+$B$9*Компания!F217/IF(CUR_I_Report=2,Проект!F$98,1)</f>
        <v>0</v>
      </c>
      <c r="G71" s="134">
        <f ca="1">SUMPRODUCT($B7:OFFSET($B8,-1,0),G72:OFFSET(G73,-1,0))+$B$9*Компания!G217/IF(CUR_I_Report=2,Проект!G$98,1)</f>
        <v>551769.03571428568</v>
      </c>
      <c r="H71" s="134">
        <f ca="1">SUMPRODUCT($B7:OFFSET($B8,-1,0),H72:OFFSET(H73,-1,0))+$B$9*Компания!H217/IF(CUR_I_Report=2,Проект!H$98,1)</f>
        <v>1417840.8357142862</v>
      </c>
      <c r="I71" s="134">
        <f ca="1">SUMPRODUCT($B7:OFFSET($B8,-1,0),I72:OFFSET(I73,-1,0))+$B$9*Компания!I217/IF(CUR_I_Report=2,Проект!I$98,1)</f>
        <v>1170081.7757142866</v>
      </c>
      <c r="J71" s="134">
        <f ca="1">SUMPRODUCT($B7:OFFSET($B8,-1,0),J72:OFFSET(J73,-1,0))+$B$9*Компания!J217/IF(CUR_I_Report=2,Проект!J$98,1)</f>
        <v>1317421.6497142871</v>
      </c>
      <c r="K71" s="134">
        <f ca="1">SUMPRODUCT($B7:OFFSET($B8,-1,0),K72:OFFSET(K73,-1,0))+$B$9*Компания!K217/IF(CUR_I_Report=2,Проект!K$98,1)</f>
        <v>1479495.511114287</v>
      </c>
      <c r="L71" s="134"/>
      <c r="M71" s="134">
        <f t="shared" ca="1" si="7"/>
        <v>5936608.8079714328</v>
      </c>
    </row>
    <row r="72" spans="1:13" hidden="1" outlineLevel="2">
      <c r="A72" s="13" t="str">
        <f>A7</f>
        <v xml:space="preserve">    Ресторан восточной кухни</v>
      </c>
      <c r="B72" s="135"/>
      <c r="C72" s="132">
        <f t="shared" si="6"/>
        <v>0</v>
      </c>
      <c r="D72" s="135" t="s">
        <v>1316</v>
      </c>
      <c r="E72" s="135"/>
      <c r="F72" s="136">
        <f>Проект!F$761</f>
        <v>0</v>
      </c>
      <c r="G72" s="136">
        <f ca="1">Проект!G$761</f>
        <v>551769.03571428568</v>
      </c>
      <c r="H72" s="136">
        <f ca="1">Проект!H$761</f>
        <v>1417840.8357142862</v>
      </c>
      <c r="I72" s="136">
        <f ca="1">Проект!I$761</f>
        <v>1170081.7757142866</v>
      </c>
      <c r="J72" s="136">
        <f ca="1">Проект!J$761</f>
        <v>1317421.6497142871</v>
      </c>
      <c r="K72" s="136">
        <f ca="1">Проект!K$761</f>
        <v>1479495.511114287</v>
      </c>
      <c r="L72" s="136"/>
      <c r="M72" s="136">
        <f t="shared" ca="1" si="7"/>
        <v>5936608.8079714328</v>
      </c>
    </row>
    <row r="73" spans="1:13" outlineLevel="1" collapsed="1">
      <c r="A73" s="45" t="str">
        <f ca="1">OFFSET(Язык!$A$388,0,LANGUAGE)</f>
        <v xml:space="preserve"> -  Налоги, относимые на финансовые результаты</v>
      </c>
      <c r="C73" s="132">
        <f t="shared" si="6"/>
        <v>0</v>
      </c>
      <c r="D73" s="1" t="s">
        <v>1315</v>
      </c>
      <c r="F73" s="134">
        <f ca="1">SUMPRODUCT($B7:OFFSET($B8,-1,0),F74:OFFSET(F75,-1,0))+$B$9*Компания!F218/IF(CUR_I_Report=2,Проект!F$98,1)</f>
        <v>0</v>
      </c>
      <c r="G73" s="134">
        <f ca="1">SUMPRODUCT($B7:OFFSET($B8,-1,0),G74:OFFSET(G75,-1,0))+$B$9*Компания!G218/IF(CUR_I_Report=2,Проект!G$98,1)</f>
        <v>0</v>
      </c>
      <c r="H73" s="134">
        <f ca="1">SUMPRODUCT($B7:OFFSET($B8,-1,0),H74:OFFSET(H75,-1,0))+$B$9*Компания!H218/IF(CUR_I_Report=2,Проект!H$98,1)</f>
        <v>25204.584821428572</v>
      </c>
      <c r="I73" s="134">
        <f ca="1">SUMPRODUCT($B7:OFFSET($B8,-1,0),I74:OFFSET(I75,-1,0))+$B$9*Компания!I218/IF(CUR_I_Report=2,Проект!I$98,1)</f>
        <v>47072.683035714275</v>
      </c>
      <c r="J73" s="134">
        <f ca="1">SUMPRODUCT($B7:OFFSET($B8,-1,0),J74:OFFSET(J75,-1,0))+$B$9*Компания!J218/IF(CUR_I_Report=2,Проект!J$98,1)</f>
        <v>40399.709821428565</v>
      </c>
      <c r="K73" s="134">
        <f ca="1">SUMPRODUCT($B7:OFFSET($B8,-1,0),K74:OFFSET(K75,-1,0))+$B$9*Компания!K218/IF(CUR_I_Report=2,Проект!K$98,1)</f>
        <v>33726.736607142848</v>
      </c>
      <c r="L73" s="134"/>
      <c r="M73" s="134">
        <f t="shared" ca="1" si="7"/>
        <v>146403.71428571426</v>
      </c>
    </row>
    <row r="74" spans="1:13" hidden="1" outlineLevel="2">
      <c r="A74" s="13" t="str">
        <f>A7</f>
        <v xml:space="preserve">    Ресторан восточной кухни</v>
      </c>
      <c r="B74" s="135"/>
      <c r="C74" s="132">
        <f t="shared" si="6"/>
        <v>0</v>
      </c>
      <c r="D74" s="135" t="s">
        <v>1316</v>
      </c>
      <c r="E74" s="135"/>
      <c r="F74" s="136">
        <f>Проект!F$762</f>
        <v>0</v>
      </c>
      <c r="G74" s="136">
        <f ca="1">Проект!G$762</f>
        <v>0</v>
      </c>
      <c r="H74" s="136">
        <f ca="1">Проект!H$762</f>
        <v>25204.584821428572</v>
      </c>
      <c r="I74" s="136">
        <f ca="1">Проект!I$762</f>
        <v>47072.683035714275</v>
      </c>
      <c r="J74" s="136">
        <f ca="1">Проект!J$762</f>
        <v>40399.709821428565</v>
      </c>
      <c r="K74" s="136">
        <f ca="1">Проект!K$762</f>
        <v>33726.736607142848</v>
      </c>
      <c r="L74" s="136"/>
      <c r="M74" s="136">
        <f t="shared" ca="1" si="7"/>
        <v>146403.71428571426</v>
      </c>
    </row>
    <row r="75" spans="1:13" outlineLevel="1" collapsed="1">
      <c r="A75" s="45" t="str">
        <f ca="1">OFFSET(Язык!$A$389,0,LANGUAGE)</f>
        <v xml:space="preserve"> -  Проценты к уплате</v>
      </c>
      <c r="C75" s="132">
        <f t="shared" si="6"/>
        <v>0</v>
      </c>
      <c r="D75" s="1" t="s">
        <v>1315</v>
      </c>
      <c r="F75" s="134">
        <f ca="1">SUMPRODUCT($B7:OFFSET($B8,-1,0),F76:OFFSET(F77,-1,0))+$B$9*Компания!F219/IF(CUR_I_Report=2,Проект!F$98,1)</f>
        <v>0</v>
      </c>
      <c r="G75" s="134">
        <f ca="1">SUMPRODUCT($B7:OFFSET($B8,-1,0),G76:OFFSET(G77,-1,0))+$B$9*Компания!G219/IF(CUR_I_Report=2,Проект!G$98,1)</f>
        <v>0</v>
      </c>
      <c r="H75" s="134">
        <f ca="1">SUMPRODUCT($B7:OFFSET($B8,-1,0),H76:OFFSET(H77,-1,0))+$B$9*Компания!H219/IF(CUR_I_Report=2,Проект!H$98,1)</f>
        <v>406840.00000000006</v>
      </c>
      <c r="I75" s="134">
        <f ca="1">SUMPRODUCT($B7:OFFSET($B8,-1,0),I76:OFFSET(I77,-1,0))+$B$9*Компания!I219/IF(CUR_I_Report=2,Проект!I$98,1)</f>
        <v>271040</v>
      </c>
      <c r="J75" s="134">
        <f ca="1">SUMPRODUCT($B7:OFFSET($B8,-1,0),J76:OFFSET(J77,-1,0))+$B$9*Компания!J219/IF(CUR_I_Report=2,Проект!J$98,1)</f>
        <v>135240</v>
      </c>
      <c r="K75" s="134">
        <f ca="1">SUMPRODUCT($B7:OFFSET($B8,-1,0),K76:OFFSET(K77,-1,0))+$B$9*Компания!K219/IF(CUR_I_Report=2,Проект!K$98,1)</f>
        <v>0</v>
      </c>
      <c r="L75" s="134"/>
      <c r="M75" s="134">
        <f t="shared" ca="1" si="7"/>
        <v>813120</v>
      </c>
    </row>
    <row r="76" spans="1:13" hidden="1" outlineLevel="2">
      <c r="A76" s="13" t="str">
        <f>A7</f>
        <v xml:space="preserve">    Ресторан восточной кухни</v>
      </c>
      <c r="B76" s="135"/>
      <c r="C76" s="132">
        <f t="shared" si="6"/>
        <v>0</v>
      </c>
      <c r="D76" s="135" t="s">
        <v>1316</v>
      </c>
      <c r="E76" s="135"/>
      <c r="F76" s="136">
        <f>Проект!F$763</f>
        <v>0</v>
      </c>
      <c r="G76" s="136">
        <f ca="1">Проект!G$763</f>
        <v>0</v>
      </c>
      <c r="H76" s="136">
        <f ca="1">Проект!H$763</f>
        <v>406840.00000000006</v>
      </c>
      <c r="I76" s="136">
        <f ca="1">Проект!I$763</f>
        <v>271040</v>
      </c>
      <c r="J76" s="136">
        <f ca="1">Проект!J$763</f>
        <v>135240</v>
      </c>
      <c r="K76" s="136">
        <f ca="1">Проект!K$763</f>
        <v>0</v>
      </c>
      <c r="L76" s="136"/>
      <c r="M76" s="136">
        <f t="shared" ca="1" si="7"/>
        <v>813120</v>
      </c>
    </row>
    <row r="77" spans="1:13" outlineLevel="1" collapsed="1">
      <c r="A77" s="45" t="str">
        <f ca="1">OFFSET(Язык!$A$390,0,LANGUAGE)</f>
        <v xml:space="preserve"> + Прибыль (убыток) от прочей реализации</v>
      </c>
      <c r="C77" s="132">
        <f t="shared" si="6"/>
        <v>0</v>
      </c>
      <c r="D77" s="1" t="s">
        <v>1315</v>
      </c>
      <c r="F77" s="134">
        <f ca="1">SUMPRODUCT($B7:OFFSET($B8,-1,0),F78:OFFSET(F79,-1,0))+$B$9*Компания!F220/IF(CUR_I_Report=2,Проект!F$98,1)</f>
        <v>0</v>
      </c>
      <c r="G77" s="134">
        <f ca="1">SUMPRODUCT($B7:OFFSET($B8,-1,0),G78:OFFSET(G79,-1,0))+$B$9*Компания!G220/IF(CUR_I_Report=2,Проект!G$98,1)</f>
        <v>0</v>
      </c>
      <c r="H77" s="134">
        <f ca="1">SUMPRODUCT($B7:OFFSET($B8,-1,0),H78:OFFSET(H79,-1,0))+$B$9*Компания!H220/IF(CUR_I_Report=2,Проект!H$98,1)</f>
        <v>0</v>
      </c>
      <c r="I77" s="134">
        <f ca="1">SUMPRODUCT($B7:OFFSET($B8,-1,0),I78:OFFSET(I79,-1,0))+$B$9*Компания!I220/IF(CUR_I_Report=2,Проект!I$98,1)</f>
        <v>0</v>
      </c>
      <c r="J77" s="134">
        <f ca="1">SUMPRODUCT($B7:OFFSET($B8,-1,0),J78:OFFSET(J79,-1,0))+$B$9*Компания!J220/IF(CUR_I_Report=2,Проект!J$98,1)</f>
        <v>0</v>
      </c>
      <c r="K77" s="134">
        <f ca="1">SUMPRODUCT($B7:OFFSET($B8,-1,0),K78:OFFSET(K79,-1,0))+$B$9*Компания!K220/IF(CUR_I_Report=2,Проект!K$98,1)</f>
        <v>0</v>
      </c>
      <c r="L77" s="134"/>
      <c r="M77" s="134">
        <f t="shared" ca="1" si="7"/>
        <v>0</v>
      </c>
    </row>
    <row r="78" spans="1:13" hidden="1" outlineLevel="2">
      <c r="A78" s="13" t="str">
        <f>A7</f>
        <v xml:space="preserve">    Ресторан восточной кухни</v>
      </c>
      <c r="B78" s="135"/>
      <c r="C78" s="132">
        <f t="shared" si="6"/>
        <v>0</v>
      </c>
      <c r="D78" s="135" t="s">
        <v>1316</v>
      </c>
      <c r="E78" s="135"/>
      <c r="F78" s="136">
        <f>Проект!F$764</f>
        <v>0</v>
      </c>
      <c r="G78" s="136">
        <f>Проект!G$764</f>
        <v>0</v>
      </c>
      <c r="H78" s="136">
        <f>Проект!H$764</f>
        <v>0</v>
      </c>
      <c r="I78" s="136">
        <f>Проект!I$764</f>
        <v>0</v>
      </c>
      <c r="J78" s="136">
        <f>Проект!J$764</f>
        <v>0</v>
      </c>
      <c r="K78" s="136">
        <f>Проект!K$764</f>
        <v>0</v>
      </c>
      <c r="L78" s="136"/>
      <c r="M78" s="136">
        <f t="shared" si="7"/>
        <v>0</v>
      </c>
    </row>
    <row r="79" spans="1:13" outlineLevel="1" collapsed="1">
      <c r="A79" s="45" t="str">
        <f ca="1">OFFSET(Язык!$A$391,0,LANGUAGE)</f>
        <v xml:space="preserve"> + Курсовая разница и доходы от конвертации</v>
      </c>
      <c r="C79" s="132">
        <f t="shared" si="6"/>
        <v>0</v>
      </c>
      <c r="D79" s="1" t="s">
        <v>1315</v>
      </c>
      <c r="F79" s="134">
        <f ca="1">SUMPRODUCT($B7:OFFSET($B8,-1,0),F80:OFFSET(F81,-1,0))+$B$9*Компания!F221/IF(CUR_I_Report=2,Проект!F$98,1)</f>
        <v>0</v>
      </c>
      <c r="G79" s="134">
        <f ca="1">SUMPRODUCT($B7:OFFSET($B8,-1,0),G80:OFFSET(G81,-1,0))+$B$9*Компания!G221/IF(CUR_I_Report=2,Проект!G$98,1)</f>
        <v>0</v>
      </c>
      <c r="H79" s="134">
        <f ca="1">SUMPRODUCT($B7:OFFSET($B8,-1,0),H80:OFFSET(H81,-1,0))+$B$9*Компания!H221/IF(CUR_I_Report=2,Проект!H$98,1)</f>
        <v>0</v>
      </c>
      <c r="I79" s="134">
        <f ca="1">SUMPRODUCT($B7:OFFSET($B8,-1,0),I80:OFFSET(I81,-1,0))+$B$9*Компания!I221/IF(CUR_I_Report=2,Проект!I$98,1)</f>
        <v>0</v>
      </c>
      <c r="J79" s="134">
        <f ca="1">SUMPRODUCT($B7:OFFSET($B8,-1,0),J80:OFFSET(J81,-1,0))+$B$9*Компания!J221/IF(CUR_I_Report=2,Проект!J$98,1)</f>
        <v>0</v>
      </c>
      <c r="K79" s="134">
        <f ca="1">SUMPRODUCT($B7:OFFSET($B8,-1,0),K80:OFFSET(K81,-1,0))+$B$9*Компания!K221/IF(CUR_I_Report=2,Проект!K$98,1)</f>
        <v>0</v>
      </c>
      <c r="L79" s="134"/>
      <c r="M79" s="134">
        <f t="shared" ca="1" si="7"/>
        <v>0</v>
      </c>
    </row>
    <row r="80" spans="1:13" hidden="1" outlineLevel="2">
      <c r="A80" s="13" t="str">
        <f>A7</f>
        <v xml:space="preserve">    Ресторан восточной кухни</v>
      </c>
      <c r="B80" s="135"/>
      <c r="C80" s="132">
        <f t="shared" si="6"/>
        <v>0</v>
      </c>
      <c r="D80" s="135" t="s">
        <v>1316</v>
      </c>
      <c r="E80" s="135"/>
      <c r="F80" s="136">
        <f>Проект!F$765</f>
        <v>0</v>
      </c>
      <c r="G80" s="136">
        <f ca="1">Проект!G$765</f>
        <v>0</v>
      </c>
      <c r="H80" s="136">
        <f ca="1">Проект!H$765</f>
        <v>0</v>
      </c>
      <c r="I80" s="136">
        <f ca="1">Проект!I$765</f>
        <v>0</v>
      </c>
      <c r="J80" s="136">
        <f ca="1">Проект!J$765</f>
        <v>0</v>
      </c>
      <c r="K80" s="136">
        <f ca="1">Проект!K$765</f>
        <v>0</v>
      </c>
      <c r="L80" s="136"/>
      <c r="M80" s="136">
        <f t="shared" ca="1" si="7"/>
        <v>0</v>
      </c>
    </row>
    <row r="81" spans="1:13" outlineLevel="1" collapsed="1">
      <c r="A81" s="45" t="str">
        <f ca="1">OFFSET(Язык!$A$392,0,LANGUAGE)</f>
        <v xml:space="preserve"> + Прочие внереализационные доходы (расходы)</v>
      </c>
      <c r="C81" s="132">
        <f t="shared" si="6"/>
        <v>0</v>
      </c>
      <c r="D81" s="1" t="s">
        <v>1315</v>
      </c>
      <c r="F81" s="134">
        <f ca="1">SUMPRODUCT($B7:OFFSET($B8,-1,0),F82:OFFSET(F83,-1,0))+$B$9*Компания!F222/IF(CUR_I_Report=2,Проект!F$98,1)</f>
        <v>0</v>
      </c>
      <c r="G81" s="134">
        <f ca="1">SUMPRODUCT($B7:OFFSET($B8,-1,0),G82:OFFSET(G83,-1,0))+$B$9*Компания!G222/IF(CUR_I_Report=2,Проект!G$98,1)</f>
        <v>0</v>
      </c>
      <c r="H81" s="134">
        <f ca="1">SUMPRODUCT($B7:OFFSET($B8,-1,0),H82:OFFSET(H83,-1,0))+$B$9*Компания!H222/IF(CUR_I_Report=2,Проект!H$98,1)</f>
        <v>0</v>
      </c>
      <c r="I81" s="134">
        <f ca="1">SUMPRODUCT($B7:OFFSET($B8,-1,0),I82:OFFSET(I83,-1,0))+$B$9*Компания!I222/IF(CUR_I_Report=2,Проект!I$98,1)</f>
        <v>0</v>
      </c>
      <c r="J81" s="134">
        <f ca="1">SUMPRODUCT($B7:OFFSET($B8,-1,0),J82:OFFSET(J83,-1,0))+$B$9*Компания!J222/IF(CUR_I_Report=2,Проект!J$98,1)</f>
        <v>0</v>
      </c>
      <c r="K81" s="134">
        <f ca="1">SUMPRODUCT($B7:OFFSET($B8,-1,0),K82:OFFSET(K83,-1,0))+$B$9*Компания!K222/IF(CUR_I_Report=2,Проект!K$98,1)</f>
        <v>0</v>
      </c>
      <c r="L81" s="134"/>
      <c r="M81" s="134">
        <f t="shared" ca="1" si="7"/>
        <v>0</v>
      </c>
    </row>
    <row r="82" spans="1:13" hidden="1" outlineLevel="2">
      <c r="A82" s="13" t="str">
        <f>A7</f>
        <v xml:space="preserve">    Ресторан восточной кухни</v>
      </c>
      <c r="B82" s="135"/>
      <c r="C82" s="132">
        <f t="shared" si="6"/>
        <v>0</v>
      </c>
      <c r="D82" s="135" t="s">
        <v>1316</v>
      </c>
      <c r="E82" s="135"/>
      <c r="F82" s="136">
        <f>Проект!F$766</f>
        <v>0</v>
      </c>
      <c r="G82" s="136">
        <f ca="1">Проект!G$766</f>
        <v>0</v>
      </c>
      <c r="H82" s="136">
        <f ca="1">Проект!H$766</f>
        <v>0</v>
      </c>
      <c r="I82" s="136">
        <f ca="1">Проект!I$766</f>
        <v>0</v>
      </c>
      <c r="J82" s="136">
        <f ca="1">Проект!J$766</f>
        <v>0</v>
      </c>
      <c r="K82" s="136">
        <f ca="1">Проект!K$766</f>
        <v>0</v>
      </c>
      <c r="L82" s="136"/>
      <c r="M82" s="136">
        <f t="shared" ca="1" si="7"/>
        <v>0</v>
      </c>
    </row>
    <row r="83" spans="1:13" outlineLevel="1" collapsed="1">
      <c r="A83" s="133" t="str">
        <f ca="1">OFFSET(Язык!$A$393,0,LANGUAGE)</f>
        <v>Прибыль до налогообложения</v>
      </c>
      <c r="C83" s="132">
        <f t="shared" si="6"/>
        <v>0</v>
      </c>
      <c r="D83" s="1" t="s">
        <v>1315</v>
      </c>
      <c r="F83" s="134">
        <f ca="1">SUMPRODUCT($B7:OFFSET($B8,-1,0),F84:OFFSET(F85,-1,0))+$B$9*Компания!F223/IF(CUR_I_Report=2,Проект!F$98,1)</f>
        <v>0</v>
      </c>
      <c r="G83" s="134">
        <f ca="1">SUMPRODUCT($B7:OFFSET($B8,-1,0),G84:OFFSET(G85,-1,0))+$B$9*Компания!G223/IF(CUR_I_Report=2,Проект!G$98,1)</f>
        <v>551769.03571428568</v>
      </c>
      <c r="H83" s="134">
        <f ca="1">SUMPRODUCT($B7:OFFSET($B8,-1,0),H84:OFFSET(H85,-1,0))+$B$9*Компания!H223/IF(CUR_I_Report=2,Проект!H$98,1)</f>
        <v>985796.25089285756</v>
      </c>
      <c r="I83" s="134">
        <f ca="1">SUMPRODUCT($B7:OFFSET($B8,-1,0),I84:OFFSET(I85,-1,0))+$B$9*Компания!I223/IF(CUR_I_Report=2,Проект!I$98,1)</f>
        <v>851969.09267857228</v>
      </c>
      <c r="J83" s="134">
        <f ca="1">SUMPRODUCT($B7:OFFSET($B8,-1,0),J84:OFFSET(J85,-1,0))+$B$9*Компания!J223/IF(CUR_I_Report=2,Проект!J$98,1)</f>
        <v>1141781.9398928585</v>
      </c>
      <c r="K83" s="134">
        <f ca="1">SUMPRODUCT($B7:OFFSET($B8,-1,0),K84:OFFSET(K85,-1,0))+$B$9*Компания!K223/IF(CUR_I_Report=2,Проект!K$98,1)</f>
        <v>1445768.774507144</v>
      </c>
      <c r="L83" s="134"/>
      <c r="M83" s="134">
        <f t="shared" ca="1" si="7"/>
        <v>4977085.0936857183</v>
      </c>
    </row>
    <row r="84" spans="1:13" hidden="1" outlineLevel="2">
      <c r="A84" s="13" t="str">
        <f>A7</f>
        <v xml:space="preserve">    Ресторан восточной кухни</v>
      </c>
      <c r="B84" s="135"/>
      <c r="C84" s="132">
        <f t="shared" si="6"/>
        <v>0</v>
      </c>
      <c r="D84" s="135" t="s">
        <v>1316</v>
      </c>
      <c r="E84" s="135"/>
      <c r="F84" s="136">
        <f>Проект!F$767</f>
        <v>0</v>
      </c>
      <c r="G84" s="136">
        <f ca="1">Проект!G$767</f>
        <v>551769.03571428568</v>
      </c>
      <c r="H84" s="136">
        <f ca="1">Проект!H$767</f>
        <v>985796.25089285756</v>
      </c>
      <c r="I84" s="136">
        <f ca="1">Проект!I$767</f>
        <v>851969.09267857228</v>
      </c>
      <c r="J84" s="136">
        <f ca="1">Проект!J$767</f>
        <v>1141781.9398928585</v>
      </c>
      <c r="K84" s="136">
        <f ca="1">Проект!K$767</f>
        <v>1445768.774507144</v>
      </c>
      <c r="L84" s="136"/>
      <c r="M84" s="136">
        <f t="shared" ca="1" si="7"/>
        <v>4977085.0936857183</v>
      </c>
    </row>
    <row r="85" spans="1:13" outlineLevel="1" collapsed="1">
      <c r="A85" s="45" t="str">
        <f ca="1">OFFSET(Язык!$A$394,0,LANGUAGE)</f>
        <v xml:space="preserve"> -  Налог на прибыль</v>
      </c>
      <c r="C85" s="132">
        <f t="shared" si="6"/>
        <v>0</v>
      </c>
      <c r="D85" s="1" t="s">
        <v>1315</v>
      </c>
      <c r="F85" s="134">
        <f ca="1">SUMPRODUCT($B7:OFFSET($B8,-1,0),F86:OFFSET(F87,-1,0))-SUMPRODUCT($B7:OFFSET($B8,-1,0),F34:OFFSET(F35,-1,0))+F33/IF(CUR_I_Report=2,Проект!F$98,1)</f>
        <v>0</v>
      </c>
      <c r="G85" s="134">
        <f ca="1">SUMPRODUCT($B7:OFFSET($B8,-1,0),G86:OFFSET(G87,-1,0))-SUMPRODUCT($B7:OFFSET($B8,-1,0),G34:OFFSET(G35,-1,0))+G33/IF(CUR_I_Report=2,Проект!G$98,1)</f>
        <v>110353.80714285714</v>
      </c>
      <c r="H85" s="134">
        <f ca="1">SUMPRODUCT($B7:OFFSET($B8,-1,0),H86:OFFSET(H87,-1,0))-SUMPRODUCT($B7:OFFSET($B8,-1,0),H34:OFFSET(H35,-1,0))+H33/IF(CUR_I_Report=2,Проект!H$98,1)</f>
        <v>197159.25017857153</v>
      </c>
      <c r="I85" s="134">
        <f ca="1">SUMPRODUCT($B7:OFFSET($B8,-1,0),I86:OFFSET(I87,-1,0))-SUMPRODUCT($B7:OFFSET($B8,-1,0),I34:OFFSET(I35,-1,0))+I33/IF(CUR_I_Report=2,Проект!I$98,1)</f>
        <v>170393.81853571447</v>
      </c>
      <c r="J85" s="134">
        <f ca="1">SUMPRODUCT($B7:OFFSET($B8,-1,0),J86:OFFSET(J87,-1,0))-SUMPRODUCT($B7:OFFSET($B8,-1,0),J34:OFFSET(J35,-1,0))+J33/IF(CUR_I_Report=2,Проект!J$98,1)</f>
        <v>228356.3879785717</v>
      </c>
      <c r="K85" s="134">
        <f ca="1">SUMPRODUCT($B7:OFFSET($B8,-1,0),K86:OFFSET(K87,-1,0))-SUMPRODUCT($B7:OFFSET($B8,-1,0),K34:OFFSET(K35,-1,0))+K33/IF(CUR_I_Report=2,Проект!K$98,1)</f>
        <v>289153.75490142882</v>
      </c>
      <c r="L85" s="134"/>
      <c r="M85" s="134">
        <f t="shared" ca="1" si="7"/>
        <v>995417.01873714372</v>
      </c>
    </row>
    <row r="86" spans="1:13" hidden="1" outlineLevel="2">
      <c r="A86" s="13" t="str">
        <f>A7</f>
        <v xml:space="preserve">    Ресторан восточной кухни</v>
      </c>
      <c r="B86" s="135"/>
      <c r="C86" s="132">
        <f t="shared" si="6"/>
        <v>0</v>
      </c>
      <c r="D86" s="135" t="s">
        <v>1316</v>
      </c>
      <c r="E86" s="135"/>
      <c r="F86" s="136">
        <f>Проект!F$768</f>
        <v>0</v>
      </c>
      <c r="G86" s="136">
        <f ca="1">Проект!G$768</f>
        <v>110353.80714285714</v>
      </c>
      <c r="H86" s="136">
        <f ca="1">Проект!H$768</f>
        <v>197159.25017857153</v>
      </c>
      <c r="I86" s="136">
        <f ca="1">Проект!I$768</f>
        <v>170393.81853571447</v>
      </c>
      <c r="J86" s="136">
        <f ca="1">Проект!J$768</f>
        <v>228356.3879785717</v>
      </c>
      <c r="K86" s="136">
        <f ca="1">Проект!K$768</f>
        <v>289153.75490142882</v>
      </c>
      <c r="L86" s="136"/>
      <c r="M86" s="136">
        <f t="shared" ca="1" si="7"/>
        <v>995417.01873714372</v>
      </c>
    </row>
    <row r="87" spans="1:13" outlineLevel="1" collapsed="1">
      <c r="A87" s="133" t="str">
        <f ca="1">OFFSET(Язык!$A$395,0,LANGUAGE)</f>
        <v>Чистая прибыль (убыток)</v>
      </c>
      <c r="C87" s="132">
        <f t="shared" si="6"/>
        <v>0</v>
      </c>
      <c r="D87" s="1" t="s">
        <v>1315</v>
      </c>
      <c r="F87" s="134">
        <f t="shared" ref="F87:J87" ca="1" si="8">F83-F85</f>
        <v>0</v>
      </c>
      <c r="G87" s="134">
        <f t="shared" ca="1" si="8"/>
        <v>441415.22857142857</v>
      </c>
      <c r="H87" s="134">
        <f t="shared" ca="1" si="8"/>
        <v>788637.000714286</v>
      </c>
      <c r="I87" s="134">
        <f t="shared" ca="1" si="8"/>
        <v>681575.27414285787</v>
      </c>
      <c r="J87" s="134">
        <f t="shared" ca="1" si="8"/>
        <v>913425.5519142868</v>
      </c>
      <c r="K87" s="134">
        <f t="shared" ref="K87" ca="1" si="9">K83-K85</f>
        <v>1156615.0196057153</v>
      </c>
      <c r="L87" s="134"/>
      <c r="M87" s="134">
        <f t="shared" ca="1" si="7"/>
        <v>3981668.0749485749</v>
      </c>
    </row>
    <row r="88" spans="1:13" hidden="1" outlineLevel="2">
      <c r="A88" s="13" t="str">
        <f>A7</f>
        <v xml:space="preserve">    Ресторан восточной кухни</v>
      </c>
      <c r="B88" s="135"/>
      <c r="C88" s="132">
        <f t="shared" si="6"/>
        <v>0</v>
      </c>
      <c r="D88" s="135" t="s">
        <v>1316</v>
      </c>
      <c r="E88" s="135"/>
      <c r="F88" s="136">
        <f>Проект!F$769</f>
        <v>0</v>
      </c>
      <c r="G88" s="136">
        <f ca="1">Проект!G$769</f>
        <v>441415.22857142857</v>
      </c>
      <c r="H88" s="136">
        <f ca="1">Проект!H$769</f>
        <v>788637.000714286</v>
      </c>
      <c r="I88" s="136">
        <f ca="1">Проект!I$769</f>
        <v>681575.27414285787</v>
      </c>
      <c r="J88" s="136">
        <f ca="1">Проект!J$769</f>
        <v>913425.5519142868</v>
      </c>
      <c r="K88" s="136">
        <f ca="1">Проект!K$769</f>
        <v>1156615.0196057153</v>
      </c>
      <c r="L88" s="136"/>
      <c r="M88" s="136">
        <f t="shared" ca="1" si="7"/>
        <v>3981668.0749485749</v>
      </c>
    </row>
    <row r="89" spans="1:13" outlineLevel="1" collapsed="1">
      <c r="A89" s="45" t="str">
        <f ca="1">OFFSET(Язык!$A$396,0,LANGUAGE)</f>
        <v xml:space="preserve"> -  дивиденды</v>
      </c>
      <c r="C89" s="132">
        <f t="shared" si="6"/>
        <v>0</v>
      </c>
      <c r="D89" s="1" t="s">
        <v>1315</v>
      </c>
      <c r="F89" s="134">
        <f ca="1">SUMPRODUCT($B7:OFFSET($B8,-1,0),F90:OFFSET(F91,-1,0))-SUMPRODUCT($B7:OFFSET($B8,-1,0),F44:OFFSET(F45,-1,0))+F43/IF(CUR_I_Report=2,Проект!F$98,1)</f>
        <v>0</v>
      </c>
      <c r="G89" s="134">
        <f ca="1">SUMPRODUCT($B7:OFFSET($B8,-1,0),G90:OFFSET(G91,-1,0))-SUMPRODUCT($B7:OFFSET($B8,-1,0),G44:OFFSET(G45,-1,0))+G43/IF(CUR_I_Report=2,Проект!G$98,1)</f>
        <v>0</v>
      </c>
      <c r="H89" s="134">
        <f ca="1">SUMPRODUCT($B7:OFFSET($B8,-1,0),H90:OFFSET(H91,-1,0))-SUMPRODUCT($B7:OFFSET($B8,-1,0),H44:OFFSET(H45,-1,0))+H43/IF(CUR_I_Report=2,Проект!H$98,1)</f>
        <v>0</v>
      </c>
      <c r="I89" s="134">
        <f ca="1">SUMPRODUCT($B7:OFFSET($B8,-1,0),I90:OFFSET(I91,-1,0))-SUMPRODUCT($B7:OFFSET($B8,-1,0),I44:OFFSET(I45,-1,0))+I43/IF(CUR_I_Report=2,Проект!I$98,1)</f>
        <v>0</v>
      </c>
      <c r="J89" s="134">
        <f ca="1">SUMPRODUCT($B7:OFFSET($B8,-1,0),J90:OFFSET(J91,-1,0))-SUMPRODUCT($B7:OFFSET($B8,-1,0),J44:OFFSET(J45,-1,0))+J43/IF(CUR_I_Report=2,Проект!J$98,1)</f>
        <v>0</v>
      </c>
      <c r="K89" s="134">
        <f ca="1">SUMPRODUCT($B7:OFFSET($B8,-1,0),K90:OFFSET(K91,-1,0))-SUMPRODUCT($B7:OFFSET($B8,-1,0),K44:OFFSET(K45,-1,0))+K43/IF(CUR_I_Report=2,Проект!K$98,1)</f>
        <v>0</v>
      </c>
      <c r="L89" s="134"/>
      <c r="M89" s="134">
        <f t="shared" ca="1" si="7"/>
        <v>0</v>
      </c>
    </row>
    <row r="90" spans="1:13" hidden="1" outlineLevel="2">
      <c r="A90" s="13" t="str">
        <f>A7</f>
        <v xml:space="preserve">    Ресторан восточной кухни</v>
      </c>
      <c r="B90" s="135"/>
      <c r="C90" s="132">
        <f t="shared" si="6"/>
        <v>0</v>
      </c>
      <c r="D90" s="135" t="s">
        <v>1316</v>
      </c>
      <c r="E90" s="135"/>
      <c r="F90" s="136">
        <f>Проект!F$770</f>
        <v>0</v>
      </c>
      <c r="G90" s="136">
        <f ca="1">Проект!G$770</f>
        <v>0</v>
      </c>
      <c r="H90" s="136">
        <f ca="1">Проект!H$770</f>
        <v>0</v>
      </c>
      <c r="I90" s="136">
        <f ca="1">Проект!I$770</f>
        <v>0</v>
      </c>
      <c r="J90" s="136">
        <f ca="1">Проект!J$770</f>
        <v>0</v>
      </c>
      <c r="K90" s="136">
        <f ca="1">Проект!K$770</f>
        <v>0</v>
      </c>
      <c r="L90" s="136"/>
      <c r="M90" s="136">
        <f t="shared" ca="1" si="7"/>
        <v>0</v>
      </c>
    </row>
    <row r="91" spans="1:13" outlineLevel="1" collapsed="1">
      <c r="A91" s="45" t="str">
        <f ca="1">OFFSET(Язык!$A$397,0,LANGUAGE)</f>
        <v xml:space="preserve"> = нераспределенная прибыль</v>
      </c>
      <c r="C91" s="132">
        <f t="shared" si="6"/>
        <v>0</v>
      </c>
      <c r="D91" s="1" t="s">
        <v>1315</v>
      </c>
      <c r="F91" s="134">
        <f t="shared" ref="F91:J91" ca="1" si="10">F87-F89</f>
        <v>0</v>
      </c>
      <c r="G91" s="134">
        <f t="shared" ca="1" si="10"/>
        <v>441415.22857142857</v>
      </c>
      <c r="H91" s="134">
        <f t="shared" ca="1" si="10"/>
        <v>788637.000714286</v>
      </c>
      <c r="I91" s="134">
        <f t="shared" ca="1" si="10"/>
        <v>681575.27414285787</v>
      </c>
      <c r="J91" s="134">
        <f t="shared" ca="1" si="10"/>
        <v>913425.5519142868</v>
      </c>
      <c r="K91" s="134">
        <f t="shared" ref="K91" ca="1" si="11">K87-K89</f>
        <v>1156615.0196057153</v>
      </c>
      <c r="L91" s="134"/>
      <c r="M91" s="134">
        <f t="shared" ca="1" si="7"/>
        <v>3981668.0749485749</v>
      </c>
    </row>
    <row r="92" spans="1:13" hidden="1" outlineLevel="2">
      <c r="A92" s="13" t="str">
        <f>A7</f>
        <v xml:space="preserve">    Ресторан восточной кухни</v>
      </c>
      <c r="B92" s="135"/>
      <c r="C92" s="132">
        <f t="shared" si="6"/>
        <v>0</v>
      </c>
      <c r="D92" s="135" t="s">
        <v>1316</v>
      </c>
      <c r="E92" s="135"/>
      <c r="F92" s="136">
        <f>Проект!F$771</f>
        <v>0</v>
      </c>
      <c r="G92" s="136">
        <f ca="1">Проект!G$771</f>
        <v>441415.22857142857</v>
      </c>
      <c r="H92" s="136">
        <f ca="1">Проект!H$771</f>
        <v>788637.000714286</v>
      </c>
      <c r="I92" s="136">
        <f ca="1">Проект!I$771</f>
        <v>681575.27414285787</v>
      </c>
      <c r="J92" s="136">
        <f ca="1">Проект!J$771</f>
        <v>913425.5519142868</v>
      </c>
      <c r="K92" s="136">
        <f ca="1">Проект!K$771</f>
        <v>1156615.0196057153</v>
      </c>
      <c r="L92" s="136"/>
      <c r="M92" s="136">
        <f t="shared" ca="1" si="7"/>
        <v>3981668.0749485749</v>
      </c>
    </row>
    <row r="93" spans="1:13" outlineLevel="1" collapsed="1">
      <c r="A93" s="45" t="str">
        <f ca="1">OFFSET(Язык!$A$398,0,LANGUAGE)</f>
        <v xml:space="preserve">    то же, нарастающим итогом</v>
      </c>
      <c r="C93" s="132">
        <f t="shared" si="6"/>
        <v>0</v>
      </c>
      <c r="D93" s="1" t="s">
        <v>1736</v>
      </c>
      <c r="F93" s="134">
        <f t="shared" ref="F93:K93" ca="1" si="12">E93+F91</f>
        <v>0</v>
      </c>
      <c r="G93" s="134">
        <f t="shared" ca="1" si="12"/>
        <v>441415.22857142857</v>
      </c>
      <c r="H93" s="134">
        <f t="shared" ca="1" si="12"/>
        <v>1230052.2292857147</v>
      </c>
      <c r="I93" s="134">
        <f t="shared" ca="1" si="12"/>
        <v>1911627.5034285726</v>
      </c>
      <c r="J93" s="134">
        <f t="shared" ca="1" si="12"/>
        <v>2825053.0553428596</v>
      </c>
      <c r="K93" s="134">
        <f t="shared" ca="1" si="12"/>
        <v>3981668.0749485749</v>
      </c>
      <c r="L93" s="134"/>
      <c r="M93" s="134"/>
    </row>
    <row r="94" spans="1:13" hidden="1" outlineLevel="2">
      <c r="A94" s="13" t="str">
        <f>A7</f>
        <v xml:space="preserve">    Ресторан восточной кухни</v>
      </c>
      <c r="B94" s="135"/>
      <c r="C94" s="173">
        <f t="shared" si="6"/>
        <v>0</v>
      </c>
      <c r="D94" s="135" t="s">
        <v>1317</v>
      </c>
      <c r="E94" s="135"/>
      <c r="F94" s="136">
        <f>Проект!F$772</f>
        <v>0</v>
      </c>
      <c r="G94" s="136">
        <f ca="1">Проект!G$772</f>
        <v>441415.22857142857</v>
      </c>
      <c r="H94" s="136">
        <f ca="1">Проект!H$772</f>
        <v>1230052.2292857147</v>
      </c>
      <c r="I94" s="136">
        <f ca="1">Проект!I$772</f>
        <v>1911627.5034285726</v>
      </c>
      <c r="J94" s="136">
        <f ca="1">Проект!J$772</f>
        <v>2825053.0553428596</v>
      </c>
      <c r="K94" s="136">
        <f ca="1">Проект!K$772</f>
        <v>3981668.0749485749</v>
      </c>
      <c r="L94" s="136"/>
      <c r="M94" s="136"/>
    </row>
    <row r="95" spans="1:13" outlineLevel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</row>
    <row r="96" spans="1:13" s="2" customFormat="1" outlineLevel="1" collapsed="1">
      <c r="A96" s="37" t="str">
        <f ca="1">OFFSET(Язык!$A$399,0,LANGUAGE)</f>
        <v>График: Доходы и расходы проекта</v>
      </c>
      <c r="B96" s="76"/>
      <c r="C96" s="6"/>
    </row>
    <row r="97" spans="2:3" s="2" customFormat="1" hidden="1" outlineLevel="2">
      <c r="B97" s="76"/>
      <c r="C97" s="6"/>
    </row>
    <row r="98" spans="2:3" s="2" customFormat="1" hidden="1" outlineLevel="2">
      <c r="B98" s="76"/>
      <c r="C98" s="6"/>
    </row>
    <row r="99" spans="2:3" s="2" customFormat="1" hidden="1" outlineLevel="2">
      <c r="B99" s="76"/>
      <c r="C99" s="6"/>
    </row>
    <row r="100" spans="2:3" s="2" customFormat="1" hidden="1" outlineLevel="2">
      <c r="B100" s="76"/>
      <c r="C100" s="6"/>
    </row>
    <row r="101" spans="2:3" s="2" customFormat="1" hidden="1" outlineLevel="2">
      <c r="B101" s="76"/>
      <c r="C101" s="6"/>
    </row>
    <row r="102" spans="2:3" s="2" customFormat="1" hidden="1" outlineLevel="2">
      <c r="B102" s="76"/>
      <c r="C102" s="6"/>
    </row>
    <row r="103" spans="2:3" s="2" customFormat="1" hidden="1" outlineLevel="2">
      <c r="B103" s="76"/>
      <c r="C103" s="6"/>
    </row>
    <row r="104" spans="2:3" s="2" customFormat="1" hidden="1" outlineLevel="2">
      <c r="B104" s="76"/>
      <c r="C104" s="6"/>
    </row>
    <row r="105" spans="2:3" s="2" customFormat="1" hidden="1" outlineLevel="2">
      <c r="B105" s="76"/>
      <c r="C105" s="6"/>
    </row>
    <row r="106" spans="2:3" s="2" customFormat="1" hidden="1" outlineLevel="2">
      <c r="B106" s="76"/>
      <c r="C106" s="6"/>
    </row>
    <row r="107" spans="2:3" s="2" customFormat="1" hidden="1" outlineLevel="2">
      <c r="B107" s="76"/>
      <c r="C107" s="6"/>
    </row>
    <row r="108" spans="2:3" s="2" customFormat="1" hidden="1" outlineLevel="2">
      <c r="B108" s="76"/>
      <c r="C108" s="6"/>
    </row>
    <row r="109" spans="2:3" s="2" customFormat="1" hidden="1" outlineLevel="2">
      <c r="B109" s="76"/>
      <c r="C109" s="6"/>
    </row>
    <row r="110" spans="2:3" s="2" customFormat="1" hidden="1" outlineLevel="2">
      <c r="B110" s="76"/>
      <c r="C110" s="6"/>
    </row>
    <row r="111" spans="2:3" s="2" customFormat="1" hidden="1" outlineLevel="2">
      <c r="B111" s="76"/>
      <c r="C111" s="6"/>
    </row>
    <row r="112" spans="2:3" s="2" customFormat="1" hidden="1" outlineLevel="2">
      <c r="B112" s="76"/>
      <c r="C112" s="6"/>
    </row>
    <row r="113" spans="1:3" s="2" customFormat="1" hidden="1" outlineLevel="2">
      <c r="B113" s="76"/>
      <c r="C113" s="6"/>
    </row>
    <row r="114" spans="1:3" s="2" customFormat="1" hidden="1" outlineLevel="2">
      <c r="B114" s="76"/>
      <c r="C114" s="6"/>
    </row>
    <row r="115" spans="1:3" s="2" customFormat="1" hidden="1" outlineLevel="2">
      <c r="B115" s="76"/>
      <c r="C115" s="6"/>
    </row>
    <row r="116" spans="1:3" s="2" customFormat="1" hidden="1" outlineLevel="2">
      <c r="B116" s="76"/>
      <c r="C116" s="6"/>
    </row>
    <row r="117" spans="1:3" s="2" customFormat="1" hidden="1" outlineLevel="2">
      <c r="B117" s="76"/>
      <c r="C117" s="6"/>
    </row>
    <row r="118" spans="1:3" s="2" customFormat="1" hidden="1" outlineLevel="2">
      <c r="B118" s="76"/>
      <c r="C118" s="6"/>
    </row>
    <row r="119" spans="1:3" s="2" customFormat="1" hidden="1" outlineLevel="2">
      <c r="B119" s="76"/>
      <c r="C119" s="6"/>
    </row>
    <row r="120" spans="1:3" s="2" customFormat="1" outlineLevel="1">
      <c r="B120" s="76"/>
      <c r="C120" s="6"/>
    </row>
    <row r="121" spans="1:3" s="2" customFormat="1" outlineLevel="1" collapsed="1">
      <c r="A121" s="37" t="str">
        <f ca="1">OFFSET(Язык!$A$400,0,LANGUAGE)</f>
        <v>График: Чистая прибыль</v>
      </c>
      <c r="B121" s="76"/>
      <c r="C121" s="6"/>
    </row>
    <row r="122" spans="1:3" s="2" customFormat="1" hidden="1" outlineLevel="2">
      <c r="B122" s="76"/>
      <c r="C122" s="6"/>
    </row>
    <row r="123" spans="1:3" s="2" customFormat="1" hidden="1" outlineLevel="2">
      <c r="B123" s="76"/>
      <c r="C123" s="6"/>
    </row>
    <row r="124" spans="1:3" s="2" customFormat="1" hidden="1" outlineLevel="2">
      <c r="B124" s="76"/>
      <c r="C124" s="6"/>
    </row>
    <row r="125" spans="1:3" s="2" customFormat="1" hidden="1" outlineLevel="2">
      <c r="B125" s="76"/>
      <c r="C125" s="6"/>
    </row>
    <row r="126" spans="1:3" s="2" customFormat="1" hidden="1" outlineLevel="2">
      <c r="B126" s="76"/>
      <c r="C126" s="6"/>
    </row>
    <row r="127" spans="1:3" s="2" customFormat="1" hidden="1" outlineLevel="2">
      <c r="B127" s="76"/>
      <c r="C127" s="6"/>
    </row>
    <row r="128" spans="1:3" s="2" customFormat="1" hidden="1" outlineLevel="2">
      <c r="B128" s="76"/>
      <c r="C128" s="6"/>
    </row>
    <row r="129" spans="2:3" s="2" customFormat="1" hidden="1" outlineLevel="2">
      <c r="B129" s="76"/>
      <c r="C129" s="6"/>
    </row>
    <row r="130" spans="2:3" s="2" customFormat="1" hidden="1" outlineLevel="2">
      <c r="B130" s="76"/>
      <c r="C130" s="6"/>
    </row>
    <row r="131" spans="2:3" s="2" customFormat="1" hidden="1" outlineLevel="2">
      <c r="B131" s="76"/>
      <c r="C131" s="6"/>
    </row>
    <row r="132" spans="2:3" s="2" customFormat="1" hidden="1" outlineLevel="2">
      <c r="B132" s="76"/>
      <c r="C132" s="6"/>
    </row>
    <row r="133" spans="2:3" s="2" customFormat="1" hidden="1" outlineLevel="2">
      <c r="B133" s="76"/>
      <c r="C133" s="6"/>
    </row>
    <row r="134" spans="2:3" s="2" customFormat="1" hidden="1" outlineLevel="2">
      <c r="B134" s="76"/>
      <c r="C134" s="6"/>
    </row>
    <row r="135" spans="2:3" s="2" customFormat="1" hidden="1" outlineLevel="2">
      <c r="B135" s="76"/>
      <c r="C135" s="6"/>
    </row>
    <row r="136" spans="2:3" s="2" customFormat="1" hidden="1" outlineLevel="2">
      <c r="B136" s="76"/>
      <c r="C136" s="6"/>
    </row>
    <row r="137" spans="2:3" s="2" customFormat="1" hidden="1" outlineLevel="2">
      <c r="B137" s="76"/>
      <c r="C137" s="6"/>
    </row>
    <row r="138" spans="2:3" s="2" customFormat="1" hidden="1" outlineLevel="2">
      <c r="B138" s="76"/>
      <c r="C138" s="6"/>
    </row>
    <row r="139" spans="2:3" s="2" customFormat="1" hidden="1" outlineLevel="2">
      <c r="B139" s="76"/>
      <c r="C139" s="6"/>
    </row>
    <row r="140" spans="2:3" s="2" customFormat="1" hidden="1" outlineLevel="2">
      <c r="B140" s="76"/>
      <c r="C140" s="6"/>
    </row>
    <row r="141" spans="2:3" s="2" customFormat="1" hidden="1" outlineLevel="2">
      <c r="B141" s="76"/>
      <c r="C141" s="6"/>
    </row>
    <row r="142" spans="2:3" s="2" customFormat="1" hidden="1" outlineLevel="2">
      <c r="B142" s="76"/>
      <c r="C142" s="6"/>
    </row>
    <row r="143" spans="2:3" s="2" customFormat="1" hidden="1" outlineLevel="2">
      <c r="B143" s="76"/>
      <c r="C143" s="6"/>
    </row>
    <row r="144" spans="2:3" s="2" customFormat="1" hidden="1" outlineLevel="2">
      <c r="B144" s="76"/>
      <c r="C144" s="6"/>
    </row>
    <row r="145" spans="1:13" s="2" customFormat="1" outlineLevel="1">
      <c r="B145" s="76"/>
      <c r="C145" s="6"/>
    </row>
    <row r="146" spans="1:13" ht="12" outlineLevel="1" thickBot="1"/>
    <row r="147" spans="1:13" s="2" customFormat="1" ht="15.95" customHeight="1" thickTop="1" thickBot="1">
      <c r="A147" s="18" t="str">
        <f ca="1">OFFSET(Язык!$A$422,0,LANGUAGE)</f>
        <v>ОТЧЕТ О ДВИЖЕНИИ ДЕНЕЖНЫХ СРЕДСТВ</v>
      </c>
      <c r="B147" s="19"/>
      <c r="C147" s="19"/>
      <c r="D147" s="18"/>
      <c r="E147" s="18"/>
      <c r="F147" s="19" t="str">
        <f t="shared" ref="F147:K147" si="13">PeriodTitle</f>
        <v>"0"</v>
      </c>
      <c r="G147" s="19">
        <f t="shared" si="13"/>
        <v>2013</v>
      </c>
      <c r="H147" s="19">
        <f t="shared" si="13"/>
        <v>2014</v>
      </c>
      <c r="I147" s="19">
        <f t="shared" si="13"/>
        <v>2015</v>
      </c>
      <c r="J147" s="19">
        <f t="shared" si="13"/>
        <v>2016</v>
      </c>
      <c r="K147" s="19">
        <f t="shared" si="13"/>
        <v>2017</v>
      </c>
      <c r="L147" s="19"/>
      <c r="M147" s="23" t="str">
        <f ca="1">OFFSET(Язык!$A$77,0,LANGUAGE)</f>
        <v>ИТОГО</v>
      </c>
    </row>
    <row r="148" spans="1:13" ht="12" outlineLevel="1" thickTop="1"/>
    <row r="149" spans="1:13" outlineLevel="1" collapsed="1">
      <c r="A149" s="2" t="str">
        <f ca="1">OFFSET(Язык!$A$423,0,LANGUAGE)</f>
        <v>Поступления от продаж</v>
      </c>
      <c r="C149" s="132">
        <f t="shared" ref="C149:C164" si="14">CUR_Report</f>
        <v>0</v>
      </c>
      <c r="D149" s="1" t="s">
        <v>1315</v>
      </c>
      <c r="F149" s="134">
        <f ca="1">SUMPRODUCT($B7:OFFSET($B8,-1,0),F150:OFFSET(F151,-1,0))+$B$9*Компания!F230/IF(CUR_I_Report=2,Проект!F$98,1)</f>
        <v>0</v>
      </c>
      <c r="G149" s="134">
        <f ca="1">SUMPRODUCT($B7:OFFSET($B8,-1,0),G150:OFFSET(G151,-1,0))+$B$9*Компания!G230/IF(CUR_I_Report=2,Проект!G$98,1)</f>
        <v>2544750</v>
      </c>
      <c r="H149" s="134">
        <f ca="1">SUMPRODUCT($B7:OFFSET($B8,-1,0),H150:OFFSET(H151,-1,0))+$B$9*Компания!H230/IF(CUR_I_Report=2,Проект!H$98,1)</f>
        <v>5598450</v>
      </c>
      <c r="I149" s="134">
        <f ca="1">SUMPRODUCT($B7:OFFSET($B8,-1,0),I150:OFFSET(I151,-1,0))+$B$9*Компания!I230/IF(CUR_I_Report=2,Проект!I$98,1)</f>
        <v>6158295.0000000009</v>
      </c>
      <c r="J149" s="134">
        <f ca="1">SUMPRODUCT($B7:OFFSET($B8,-1,0),J150:OFFSET(J151,-1,0))+$B$9*Компания!J230/IF(CUR_I_Report=2,Проект!J$98,1)</f>
        <v>6774124.5000000019</v>
      </c>
      <c r="K149" s="134">
        <f ca="1">SUMPRODUCT($B7:OFFSET($B8,-1,0),K150:OFFSET(K151,-1,0))+$B$9*Компания!K230/IF(CUR_I_Report=2,Проект!K$98,1)</f>
        <v>7451536.950000003</v>
      </c>
      <c r="L149" s="134"/>
      <c r="M149" s="134">
        <f t="shared" ref="M149:M164" ca="1" si="15">SUM(F149:K149)</f>
        <v>28527156.450000003</v>
      </c>
    </row>
    <row r="150" spans="1:13" hidden="1" outlineLevel="2">
      <c r="A150" s="13" t="str">
        <f>A7</f>
        <v xml:space="preserve">    Ресторан восточной кухни</v>
      </c>
      <c r="B150" s="135"/>
      <c r="C150" s="132">
        <f t="shared" si="14"/>
        <v>0</v>
      </c>
      <c r="D150" s="135" t="s">
        <v>1316</v>
      </c>
      <c r="E150" s="135"/>
      <c r="F150" s="136">
        <f ca="1">Проект!F$858</f>
        <v>0</v>
      </c>
      <c r="G150" s="136">
        <f ca="1">Проект!G$858</f>
        <v>2544750</v>
      </c>
      <c r="H150" s="136">
        <f ca="1">Проект!H$858</f>
        <v>5598450</v>
      </c>
      <c r="I150" s="136">
        <f ca="1">Проект!I$858</f>
        <v>6158295.0000000009</v>
      </c>
      <c r="J150" s="136">
        <f ca="1">Проект!J$858</f>
        <v>6774124.5000000019</v>
      </c>
      <c r="K150" s="136">
        <f ca="1">Проект!K$858</f>
        <v>7451536.950000003</v>
      </c>
      <c r="L150" s="136"/>
      <c r="M150" s="136">
        <f t="shared" ca="1" si="15"/>
        <v>28527156.450000003</v>
      </c>
    </row>
    <row r="151" spans="1:13" outlineLevel="1" collapsed="1">
      <c r="A151" s="2" t="str">
        <f ca="1">OFFSET(Язык!$A$424,0,LANGUAGE)</f>
        <v>Затраты на материалы и комплектующие</v>
      </c>
      <c r="C151" s="132">
        <f t="shared" si="14"/>
        <v>0</v>
      </c>
      <c r="D151" s="1" t="s">
        <v>1315</v>
      </c>
      <c r="F151" s="134">
        <f ca="1">SUMPRODUCT($B7:OFFSET($B8,-1,0),F152:OFFSET(F153,-1,0))+$B$9*Компания!F231/IF(CUR_I_Report=2,Проект!F$98,1)</f>
        <v>0</v>
      </c>
      <c r="G151" s="134">
        <f ca="1">SUMPRODUCT($B7:OFFSET($B8,-1,0),G152:OFFSET(G153,-1,0))+$B$9*Компания!G231/IF(CUR_I_Report=2,Проект!G$98,1)</f>
        <v>-1462500</v>
      </c>
      <c r="H151" s="134">
        <f ca="1">SUMPRODUCT($B7:OFFSET($B8,-1,0),H152:OFFSET(H153,-1,0))+$B$9*Компания!H231/IF(CUR_I_Report=2,Проект!H$98,1)</f>
        <v>-3217499.9999999995</v>
      </c>
      <c r="I151" s="134">
        <f ca="1">SUMPRODUCT($B7:OFFSET($B8,-1,0),I152:OFFSET(I153,-1,0))+$B$9*Компания!I231/IF(CUR_I_Report=2,Проект!I$98,1)</f>
        <v>-3539250</v>
      </c>
      <c r="J151" s="134">
        <f ca="1">SUMPRODUCT($B7:OFFSET($B8,-1,0),J152:OFFSET(J153,-1,0))+$B$9*Компания!J231/IF(CUR_I_Report=2,Проект!J$98,1)</f>
        <v>-3893175</v>
      </c>
      <c r="K151" s="134">
        <f ca="1">SUMPRODUCT($B7:OFFSET($B8,-1,0),K152:OFFSET(K153,-1,0))+$B$9*Компания!K231/IF(CUR_I_Report=2,Проект!K$98,1)</f>
        <v>-4282492.5000000009</v>
      </c>
      <c r="L151" s="134"/>
      <c r="M151" s="134">
        <f t="shared" ca="1" si="15"/>
        <v>-16394917.5</v>
      </c>
    </row>
    <row r="152" spans="1:13" hidden="1" outlineLevel="2">
      <c r="A152" s="13" t="str">
        <f>A7</f>
        <v xml:space="preserve">    Ресторан восточной кухни</v>
      </c>
      <c r="B152" s="135"/>
      <c r="C152" s="132">
        <f t="shared" si="14"/>
        <v>0</v>
      </c>
      <c r="D152" s="135" t="s">
        <v>1316</v>
      </c>
      <c r="E152" s="135"/>
      <c r="F152" s="136">
        <f ca="1">Проект!F$859</f>
        <v>0</v>
      </c>
      <c r="G152" s="136">
        <f ca="1">Проект!G$859</f>
        <v>-1462500</v>
      </c>
      <c r="H152" s="136">
        <f ca="1">Проект!H$859</f>
        <v>-3217499.9999999995</v>
      </c>
      <c r="I152" s="136">
        <f ca="1">Проект!I$859</f>
        <v>-3539250</v>
      </c>
      <c r="J152" s="136">
        <f ca="1">Проект!J$859</f>
        <v>-3893175</v>
      </c>
      <c r="K152" s="136">
        <f ca="1">Проект!K$859</f>
        <v>-4282492.5000000009</v>
      </c>
      <c r="L152" s="136"/>
      <c r="M152" s="136">
        <f t="shared" ca="1" si="15"/>
        <v>-16394917.5</v>
      </c>
    </row>
    <row r="153" spans="1:13" outlineLevel="1" collapsed="1">
      <c r="A153" s="2" t="str">
        <f ca="1">OFFSET(Язык!$A$425,0,LANGUAGE)</f>
        <v>Зарплата</v>
      </c>
      <c r="C153" s="132">
        <f t="shared" si="14"/>
        <v>0</v>
      </c>
      <c r="D153" s="1" t="s">
        <v>1315</v>
      </c>
      <c r="F153" s="134">
        <f ca="1">SUMPRODUCT($B7:OFFSET($B8,-1,0),F154:OFFSET(F155,-1,0))+$B$9*Компания!F232/IF(CUR_I_Report=2,Проект!F$98,1)</f>
        <v>0</v>
      </c>
      <c r="G153" s="134">
        <f ca="1">SUMPRODUCT($B7:OFFSET($B8,-1,0),G154:OFFSET(G155,-1,0))+$B$9*Компания!G232/IF(CUR_I_Report=2,Проект!G$98,1)</f>
        <v>-78900</v>
      </c>
      <c r="H153" s="134">
        <f ca="1">SUMPRODUCT($B7:OFFSET($B8,-1,0),H154:OFFSET(H155,-1,0))+$B$9*Компания!H232/IF(CUR_I_Report=2,Проект!H$98,1)</f>
        <v>-44220</v>
      </c>
      <c r="I153" s="134">
        <f ca="1">SUMPRODUCT($B7:OFFSET($B8,-1,0),I154:OFFSET(I155,-1,0))+$B$9*Компания!I232/IF(CUR_I_Report=2,Проект!I$98,1)</f>
        <v>-381876</v>
      </c>
      <c r="J153" s="134">
        <f ca="1">SUMPRODUCT($B7:OFFSET($B8,-1,0),J154:OFFSET(J155,-1,0))+$B$9*Компания!J232/IF(CUR_I_Report=2,Проект!J$98,1)</f>
        <v>-420063.60000000003</v>
      </c>
      <c r="K153" s="134">
        <f ca="1">SUMPRODUCT($B7:OFFSET($B8,-1,0),K154:OFFSET(K155,-1,0))+$B$9*Компания!K232/IF(CUR_I_Report=2,Проект!K$98,1)</f>
        <v>-462069.96</v>
      </c>
      <c r="L153" s="134"/>
      <c r="M153" s="134">
        <f t="shared" ca="1" si="15"/>
        <v>-1387129.56</v>
      </c>
    </row>
    <row r="154" spans="1:13" hidden="1" outlineLevel="2">
      <c r="A154" s="13" t="str">
        <f>A7</f>
        <v xml:space="preserve">    Ресторан восточной кухни</v>
      </c>
      <c r="B154" s="135"/>
      <c r="C154" s="132">
        <f t="shared" si="14"/>
        <v>0</v>
      </c>
      <c r="D154" s="135" t="s">
        <v>1316</v>
      </c>
      <c r="E154" s="135"/>
      <c r="F154" s="136">
        <f>Проект!F$860</f>
        <v>0</v>
      </c>
      <c r="G154" s="136">
        <f ca="1">Проект!G$860</f>
        <v>-78900</v>
      </c>
      <c r="H154" s="136">
        <f>Проект!H$860</f>
        <v>-44220</v>
      </c>
      <c r="I154" s="136">
        <f ca="1">Проект!I$860</f>
        <v>-381876</v>
      </c>
      <c r="J154" s="136">
        <f ca="1">Проект!J$860</f>
        <v>-420063.60000000003</v>
      </c>
      <c r="K154" s="136">
        <f ca="1">Проект!K$860</f>
        <v>-462069.96</v>
      </c>
      <c r="L154" s="136"/>
      <c r="M154" s="136">
        <f t="shared" ca="1" si="15"/>
        <v>-1387129.56</v>
      </c>
    </row>
    <row r="155" spans="1:13" outlineLevel="1" collapsed="1">
      <c r="A155" s="2" t="str">
        <f ca="1">OFFSET(Язык!$A$426,0,LANGUAGE)</f>
        <v>Общие затраты</v>
      </c>
      <c r="C155" s="132">
        <f t="shared" si="14"/>
        <v>0</v>
      </c>
      <c r="D155" s="1" t="s">
        <v>1315</v>
      </c>
      <c r="F155" s="134">
        <f ca="1">SUMPRODUCT($B7:OFFSET($B8,-1,0),F156:OFFSET(F157,-1,0))+$B$9*Компания!F233/IF(CUR_I_Report=2,Проект!F$98,1)</f>
        <v>0</v>
      </c>
      <c r="G155" s="134">
        <f ca="1">SUMPRODUCT($B7:OFFSET($B8,-1,0),G156:OFFSET(G157,-1,0))+$B$9*Компания!G233/IF(CUR_I_Report=2,Проект!G$98,1)</f>
        <v>-352925</v>
      </c>
      <c r="H155" s="134">
        <f ca="1">SUMPRODUCT($B7:OFFSET($B8,-1,0),H156:OFFSET(H157,-1,0))+$B$9*Компания!H233/IF(CUR_I_Report=2,Проект!H$98,1)</f>
        <v>-390850.00000000006</v>
      </c>
      <c r="I155" s="134">
        <f ca="1">SUMPRODUCT($B7:OFFSET($B8,-1,0),I156:OFFSET(I157,-1,0))+$B$9*Компания!I233/IF(CUR_I_Report=2,Проект!I$98,1)</f>
        <v>-429935.00000000012</v>
      </c>
      <c r="J155" s="134">
        <f ca="1">SUMPRODUCT($B7:OFFSET($B8,-1,0),J156:OFFSET(J157,-1,0))+$B$9*Компания!J233/IF(CUR_I_Report=2,Проект!J$98,1)</f>
        <v>-472928.50000000017</v>
      </c>
      <c r="K155" s="134">
        <f ca="1">SUMPRODUCT($B7:OFFSET($B8,-1,0),K156:OFFSET(K157,-1,0))+$B$9*Компания!K233/IF(CUR_I_Report=2,Проект!K$98,1)</f>
        <v>-520221.35000000021</v>
      </c>
      <c r="L155" s="134"/>
      <c r="M155" s="134">
        <f t="shared" ca="1" si="15"/>
        <v>-2166859.8500000006</v>
      </c>
    </row>
    <row r="156" spans="1:13" hidden="1" outlineLevel="2">
      <c r="A156" s="13" t="str">
        <f>A7</f>
        <v xml:space="preserve">    Ресторан восточной кухни</v>
      </c>
      <c r="B156" s="135"/>
      <c r="C156" s="132">
        <f t="shared" si="14"/>
        <v>0</v>
      </c>
      <c r="D156" s="135" t="s">
        <v>1316</v>
      </c>
      <c r="E156" s="135"/>
      <c r="F156" s="136">
        <f>Проект!F$861</f>
        <v>0</v>
      </c>
      <c r="G156" s="136">
        <f ca="1">Проект!G$861</f>
        <v>-352925</v>
      </c>
      <c r="H156" s="136">
        <f ca="1">Проект!H$861</f>
        <v>-390850.00000000006</v>
      </c>
      <c r="I156" s="136">
        <f ca="1">Проект!I$861</f>
        <v>-429935.00000000012</v>
      </c>
      <c r="J156" s="136">
        <f ca="1">Проект!J$861</f>
        <v>-472928.50000000017</v>
      </c>
      <c r="K156" s="136">
        <f ca="1">Проект!K$861</f>
        <v>-520221.35000000021</v>
      </c>
      <c r="L156" s="136"/>
      <c r="M156" s="136">
        <f t="shared" ca="1" si="15"/>
        <v>-2166859.8500000006</v>
      </c>
    </row>
    <row r="157" spans="1:13" outlineLevel="1" collapsed="1">
      <c r="A157" s="2" t="str">
        <f ca="1">OFFSET(Язык!$A$427,0,LANGUAGE)</f>
        <v>Налоги</v>
      </c>
      <c r="C157" s="132">
        <f t="shared" si="14"/>
        <v>0</v>
      </c>
      <c r="D157" s="1" t="s">
        <v>1315</v>
      </c>
      <c r="F157" s="134">
        <f ca="1">SUMPRODUCT($B7:OFFSET($B8,-1,0),F158:OFFSET(F159,-1,0))+$B$9*Компания!F234/IF(CUR_I_Report=2,Проект!F$98,1)-(SUMPRODUCT($B7:OFFSET($B8,-1,0),F34:OFFSET(F35,-1,0))+$B$9*Компания!F224/IF(CUR_I_Report=2,Проект!F$98,1))+F33/IF(CUR_I_Report=2,Проект!F$98,1)</f>
        <v>0</v>
      </c>
      <c r="G157" s="134">
        <f ca="1">SUMPRODUCT($B7:OFFSET($B8,-1,0),G158:OFFSET(G159,-1,0))+$B$9*Компания!G234/IF(CUR_I_Report=2,Проект!G$98,1)-(SUMPRODUCT($B7:OFFSET($B8,-1,0),G34:OFFSET(G35,-1,0))+$B$9*Компания!G224/IF(CUR_I_Report=2,Проект!G$98,1))+G33/IF(CUR_I_Report=2,Проект!G$98,1)</f>
        <v>-209009.7714285714</v>
      </c>
      <c r="H157" s="134">
        <f ca="1">SUMPRODUCT($B7:OFFSET($B8,-1,0),H158:OFFSET(H159,-1,0))+$B$9*Компания!H234/IF(CUR_I_Report=2,Проект!H$98,1)-(SUMPRODUCT($B7:OFFSET($B8,-1,0),H34:OFFSET(H35,-1,0))+$B$9*Компания!H224/IF(CUR_I_Report=2,Проект!H$98,1))+H33/IF(CUR_I_Report=2,Проект!H$98,1)</f>
        <v>-135728.89214285734</v>
      </c>
      <c r="I157" s="134">
        <f ca="1">SUMPRODUCT($B7:OFFSET($B8,-1,0),I158:OFFSET(I159,-1,0))+$B$9*Компания!I234/IF(CUR_I_Report=2,Проект!I$98,1)-(SUMPRODUCT($B7:OFFSET($B8,-1,0),I34:OFFSET(I35,-1,0))+$B$9*Компания!I224/IF(CUR_I_Report=2,Проект!I$98,1))+I33/IF(CUR_I_Report=2,Проект!I$98,1)</f>
        <v>-551301.76157142897</v>
      </c>
      <c r="J157" s="134">
        <f ca="1">SUMPRODUCT($B7:OFFSET($B8,-1,0),J158:OFFSET(J159,-1,0))+$B$9*Компания!J234/IF(CUR_I_Report=2,Проект!J$98,1)-(SUMPRODUCT($B7:OFFSET($B8,-1,0),J34:OFFSET(J35,-1,0))+$B$9*Компания!J224/IF(CUR_I_Report=2,Проект!J$98,1))+J33/IF(CUR_I_Report=2,Проект!J$98,1)</f>
        <v>-635974.88380000042</v>
      </c>
      <c r="K157" s="134">
        <f ca="1">SUMPRODUCT($B7:OFFSET($B8,-1,0),K158:OFFSET(K159,-1,0))+$B$9*Компания!K234/IF(CUR_I_Report=2,Проект!K$98,1)-(SUMPRODUCT($B7:OFFSET($B8,-1,0),K34:OFFSET(K35,-1,0))+$B$9*Компания!K224/IF(CUR_I_Report=2,Проект!K$98,1))+K33/IF(CUR_I_Report=2,Проект!K$98,1)</f>
        <v>-726821.1561085718</v>
      </c>
      <c r="L157" s="134"/>
      <c r="M157" s="134">
        <f t="shared" ca="1" si="15"/>
        <v>-2258836.4650514298</v>
      </c>
    </row>
    <row r="158" spans="1:13" hidden="1" outlineLevel="2">
      <c r="A158" s="13" t="str">
        <f>A7</f>
        <v xml:space="preserve">    Ресторан восточной кухни</v>
      </c>
      <c r="B158" s="135"/>
      <c r="C158" s="132">
        <f t="shared" si="14"/>
        <v>0</v>
      </c>
      <c r="D158" s="135" t="s">
        <v>1316</v>
      </c>
      <c r="E158" s="135"/>
      <c r="F158" s="136">
        <f ca="1">Проект!F$862</f>
        <v>0</v>
      </c>
      <c r="G158" s="136">
        <f ca="1">Проект!G$862</f>
        <v>-209009.77142857143</v>
      </c>
      <c r="H158" s="136">
        <f ca="1">Проект!H$862</f>
        <v>-135728.89214285734</v>
      </c>
      <c r="I158" s="136">
        <f ca="1">Проект!I$862</f>
        <v>-551301.76157142885</v>
      </c>
      <c r="J158" s="136">
        <f ca="1">Проект!J$862</f>
        <v>-635974.88380000042</v>
      </c>
      <c r="K158" s="136">
        <f ca="1">Проект!K$862</f>
        <v>-726821.1561085718</v>
      </c>
      <c r="L158" s="136"/>
      <c r="M158" s="136">
        <f t="shared" ca="1" si="15"/>
        <v>-2258836.4650514298</v>
      </c>
    </row>
    <row r="159" spans="1:13" outlineLevel="1" collapsed="1">
      <c r="A159" s="2" t="str">
        <f ca="1">OFFSET(Язык!$A$428,0,LANGUAGE)</f>
        <v>Выплата процентов по кредитам</v>
      </c>
      <c r="C159" s="132">
        <f t="shared" si="14"/>
        <v>0</v>
      </c>
      <c r="D159" s="1" t="s">
        <v>1315</v>
      </c>
      <c r="F159" s="134">
        <f ca="1">SUMPRODUCT($B7:OFFSET($B8,-1,0),F160:OFFSET(F161,-1,0))+$B$9*Компания!F235/IF(CUR_I_Report=2,Проект!F$98,1)</f>
        <v>0</v>
      </c>
      <c r="G159" s="134">
        <f ca="1">SUMPRODUCT($B7:OFFSET($B8,-1,0),G160:OFFSET(G161,-1,0))+$B$9*Компания!G235/IF(CUR_I_Report=2,Проект!G$98,1)</f>
        <v>0</v>
      </c>
      <c r="H159" s="134">
        <f ca="1">SUMPRODUCT($B7:OFFSET($B8,-1,0),H160:OFFSET(H161,-1,0))+$B$9*Компания!H235/IF(CUR_I_Report=2,Проект!H$98,1)</f>
        <v>-406840.00000000006</v>
      </c>
      <c r="I159" s="134">
        <f ca="1">SUMPRODUCT($B7:OFFSET($B8,-1,0),I160:OFFSET(I161,-1,0))+$B$9*Компания!I235/IF(CUR_I_Report=2,Проект!I$98,1)</f>
        <v>-271040</v>
      </c>
      <c r="J159" s="134">
        <f ca="1">SUMPRODUCT($B7:OFFSET($B8,-1,0),J160:OFFSET(J161,-1,0))+$B$9*Компания!J235/IF(CUR_I_Report=2,Проект!J$98,1)</f>
        <v>-135240</v>
      </c>
      <c r="K159" s="134">
        <f ca="1">SUMPRODUCT($B7:OFFSET($B8,-1,0),K160:OFFSET(K161,-1,0))+$B$9*Компания!K235/IF(CUR_I_Report=2,Проект!K$98,1)</f>
        <v>0</v>
      </c>
      <c r="L159" s="134"/>
      <c r="M159" s="134">
        <f t="shared" ca="1" si="15"/>
        <v>-813120</v>
      </c>
    </row>
    <row r="160" spans="1:13" hidden="1" outlineLevel="2">
      <c r="A160" s="13" t="str">
        <f>A7</f>
        <v xml:space="preserve">    Ресторан восточной кухни</v>
      </c>
      <c r="B160" s="135"/>
      <c r="C160" s="132">
        <f t="shared" si="14"/>
        <v>0</v>
      </c>
      <c r="D160" s="135" t="s">
        <v>1316</v>
      </c>
      <c r="E160" s="135"/>
      <c r="F160" s="136">
        <f>Проект!F$863</f>
        <v>0</v>
      </c>
      <c r="G160" s="136">
        <f>Проект!G$863</f>
        <v>0</v>
      </c>
      <c r="H160" s="136">
        <f>Проект!H$863</f>
        <v>-406840.00000000006</v>
      </c>
      <c r="I160" s="136">
        <f>Проект!I$863</f>
        <v>-271040</v>
      </c>
      <c r="J160" s="136">
        <f>Проект!J$863</f>
        <v>-135240</v>
      </c>
      <c r="K160" s="136">
        <f>Проект!K$863</f>
        <v>0</v>
      </c>
      <c r="L160" s="136"/>
      <c r="M160" s="136">
        <f t="shared" si="15"/>
        <v>-813120</v>
      </c>
    </row>
    <row r="161" spans="1:13" outlineLevel="1" collapsed="1">
      <c r="A161" s="2" t="str">
        <f ca="1">OFFSET(Язык!$A$429,0,LANGUAGE)</f>
        <v>Прочие поступления</v>
      </c>
      <c r="C161" s="132">
        <f t="shared" si="14"/>
        <v>0</v>
      </c>
      <c r="D161" s="1" t="s">
        <v>1315</v>
      </c>
      <c r="F161" s="134">
        <f ca="1">SUMPRODUCT($B7:OFFSET($B8,-1,0),F162:OFFSET(F163,-1,0))+$B$9*Компания!F236/IF(CUR_I_Report=2,Проект!F$98,1)</f>
        <v>0</v>
      </c>
      <c r="G161" s="134">
        <f ca="1">SUMPRODUCT($B7:OFFSET($B8,-1,0),G162:OFFSET(G163,-1,0))+$B$9*Компания!G236/IF(CUR_I_Report=2,Проект!G$98,1)</f>
        <v>0</v>
      </c>
      <c r="H161" s="134">
        <f ca="1">SUMPRODUCT($B7:OFFSET($B8,-1,0),H162:OFFSET(H163,-1,0))+$B$9*Компания!H236/IF(CUR_I_Report=2,Проект!H$98,1)</f>
        <v>0</v>
      </c>
      <c r="I161" s="134">
        <f ca="1">SUMPRODUCT($B7:OFFSET($B8,-1,0),I162:OFFSET(I163,-1,0))+$B$9*Компания!I236/IF(CUR_I_Report=2,Проект!I$98,1)</f>
        <v>0</v>
      </c>
      <c r="J161" s="134">
        <f ca="1">SUMPRODUCT($B7:OFFSET($B8,-1,0),J162:OFFSET(J163,-1,0))+$B$9*Компания!J236/IF(CUR_I_Report=2,Проект!J$98,1)</f>
        <v>0</v>
      </c>
      <c r="K161" s="134">
        <f ca="1">SUMPRODUCT($B7:OFFSET($B8,-1,0),K162:OFFSET(K163,-1,0))+$B$9*Компания!K236/IF(CUR_I_Report=2,Проект!K$98,1)</f>
        <v>0</v>
      </c>
      <c r="L161" s="134"/>
      <c r="M161" s="134">
        <f t="shared" ca="1" si="15"/>
        <v>0</v>
      </c>
    </row>
    <row r="162" spans="1:13" hidden="1" outlineLevel="2">
      <c r="A162" s="13" t="str">
        <f>A7</f>
        <v xml:space="preserve">    Ресторан восточной кухни</v>
      </c>
      <c r="B162" s="135"/>
      <c r="C162" s="132">
        <f t="shared" si="14"/>
        <v>0</v>
      </c>
      <c r="D162" s="135" t="s">
        <v>1316</v>
      </c>
      <c r="E162" s="135"/>
      <c r="F162" s="136">
        <f>Проект!F$864</f>
        <v>0</v>
      </c>
      <c r="G162" s="136">
        <f ca="1">Проект!G$864</f>
        <v>0</v>
      </c>
      <c r="H162" s="136">
        <f ca="1">Проект!H$864</f>
        <v>0</v>
      </c>
      <c r="I162" s="136">
        <f ca="1">Проект!I$864</f>
        <v>0</v>
      </c>
      <c r="J162" s="136">
        <f ca="1">Проект!J$864</f>
        <v>0</v>
      </c>
      <c r="K162" s="136">
        <f ca="1">Проект!K$864</f>
        <v>0</v>
      </c>
      <c r="L162" s="136"/>
      <c r="M162" s="136">
        <f t="shared" ca="1" si="15"/>
        <v>0</v>
      </c>
    </row>
    <row r="163" spans="1:13" outlineLevel="1" collapsed="1">
      <c r="A163" s="2" t="str">
        <f ca="1">OFFSET(Язык!$A$430,0,LANGUAGE)</f>
        <v>Прочие затраты</v>
      </c>
      <c r="C163" s="132">
        <f t="shared" si="14"/>
        <v>0</v>
      </c>
      <c r="D163" s="1" t="s">
        <v>1315</v>
      </c>
      <c r="F163" s="134">
        <f ca="1">SUMPRODUCT($B7:OFFSET($B8,-1,0),F164:OFFSET(F165,-1,0))+$B$9*Компания!F237/IF(CUR_I_Report=2,Проект!F$98,1)</f>
        <v>0</v>
      </c>
      <c r="G163" s="134">
        <f ca="1">SUMPRODUCT($B7:OFFSET($B8,-1,0),G164:OFFSET(G165,-1,0))+$B$9*Компания!G237/IF(CUR_I_Report=2,Проект!G$98,1)</f>
        <v>0</v>
      </c>
      <c r="H163" s="134">
        <f ca="1">SUMPRODUCT($B7:OFFSET($B8,-1,0),H164:OFFSET(H165,-1,0))+$B$9*Компания!H237/IF(CUR_I_Report=2,Проект!H$98,1)</f>
        <v>0</v>
      </c>
      <c r="I163" s="134">
        <f ca="1">SUMPRODUCT($B7:OFFSET($B8,-1,0),I164:OFFSET(I165,-1,0))+$B$9*Компания!I237/IF(CUR_I_Report=2,Проект!I$98,1)</f>
        <v>0</v>
      </c>
      <c r="J163" s="134">
        <f ca="1">SUMPRODUCT($B7:OFFSET($B8,-1,0),J164:OFFSET(J165,-1,0))+$B$9*Компания!J237/IF(CUR_I_Report=2,Проект!J$98,1)</f>
        <v>0</v>
      </c>
      <c r="K163" s="134">
        <f ca="1">SUMPRODUCT($B7:OFFSET($B8,-1,0),K164:OFFSET(K165,-1,0))+$B$9*Компания!K237/IF(CUR_I_Report=2,Проект!K$98,1)</f>
        <v>0</v>
      </c>
      <c r="L163" s="134"/>
      <c r="M163" s="134">
        <f t="shared" ca="1" si="15"/>
        <v>0</v>
      </c>
    </row>
    <row r="164" spans="1:13" hidden="1" outlineLevel="2">
      <c r="A164" s="13" t="str">
        <f>A7</f>
        <v xml:space="preserve">    Ресторан восточной кухни</v>
      </c>
      <c r="B164" s="135"/>
      <c r="C164" s="132">
        <f t="shared" si="14"/>
        <v>0</v>
      </c>
      <c r="D164" s="135" t="s">
        <v>1316</v>
      </c>
      <c r="E164" s="135"/>
      <c r="F164" s="136">
        <f>Проект!F$865</f>
        <v>0</v>
      </c>
      <c r="G164" s="136">
        <f>Проект!G$865</f>
        <v>0</v>
      </c>
      <c r="H164" s="136">
        <f>Проект!H$865</f>
        <v>0</v>
      </c>
      <c r="I164" s="136">
        <f>Проект!I$865</f>
        <v>0</v>
      </c>
      <c r="J164" s="136">
        <f>Проект!J$865</f>
        <v>0</v>
      </c>
      <c r="K164" s="136">
        <f>Проект!K$865</f>
        <v>0</v>
      </c>
      <c r="L164" s="136"/>
      <c r="M164" s="136">
        <f t="shared" si="15"/>
        <v>0</v>
      </c>
    </row>
    <row r="165" spans="1:13" outlineLevel="1">
      <c r="A165" s="2"/>
      <c r="F165" s="134"/>
      <c r="G165" s="134"/>
      <c r="H165" s="134"/>
      <c r="I165" s="134"/>
      <c r="J165" s="134"/>
      <c r="K165" s="134"/>
      <c r="L165" s="134"/>
      <c r="M165" s="134"/>
    </row>
    <row r="166" spans="1:13" outlineLevel="1">
      <c r="A166" s="32" t="str">
        <f ca="1">OFFSET(Язык!$A$431,0,LANGUAGE)</f>
        <v>Денежные потоки от операционной деятельности</v>
      </c>
      <c r="C166" s="132">
        <f>CUR_Report</f>
        <v>0</v>
      </c>
      <c r="D166" s="1" t="s">
        <v>1315</v>
      </c>
      <c r="F166" s="134">
        <f t="shared" ref="F166:J166" ca="1" si="16">F149+F151+F153+F155+F157+F159+F161+F163</f>
        <v>0</v>
      </c>
      <c r="G166" s="134">
        <f t="shared" ca="1" si="16"/>
        <v>441415.22857142857</v>
      </c>
      <c r="H166" s="134">
        <f t="shared" ca="1" si="16"/>
        <v>1403311.107857143</v>
      </c>
      <c r="I166" s="134">
        <f t="shared" ca="1" si="16"/>
        <v>984892.23842857196</v>
      </c>
      <c r="J166" s="134">
        <f t="shared" ca="1" si="16"/>
        <v>1216742.5162000011</v>
      </c>
      <c r="K166" s="134">
        <f t="shared" ref="K166" ca="1" si="17">K149+K151+K153+K155+K157+K159+K161+K163</f>
        <v>1459931.9838914303</v>
      </c>
      <c r="L166" s="134"/>
      <c r="M166" s="134">
        <f ca="1">SUM(F166:K166)</f>
        <v>5506293.0749485753</v>
      </c>
    </row>
    <row r="167" spans="1:13" outlineLevel="1">
      <c r="A167" s="2"/>
      <c r="F167" s="134"/>
      <c r="G167" s="134"/>
      <c r="H167" s="134"/>
      <c r="I167" s="134"/>
      <c r="J167" s="134"/>
      <c r="K167" s="134"/>
      <c r="L167" s="134"/>
      <c r="M167" s="134"/>
    </row>
    <row r="168" spans="1:13" outlineLevel="1" collapsed="1">
      <c r="A168" s="2" t="str">
        <f ca="1">OFFSET(Язык!$A$432,0,LANGUAGE)</f>
        <v>Инвестиции в здания и сооружения</v>
      </c>
      <c r="C168" s="132">
        <f t="shared" ref="C168:C177" si="18">CUR_Report</f>
        <v>0</v>
      </c>
      <c r="D168" s="1" t="s">
        <v>1315</v>
      </c>
      <c r="F168" s="134">
        <f ca="1">SUMPRODUCT($B7:OFFSET($B8,-1,0),F169:OFFSET(F170,-1,0))+$B$9*Компания!F241/IF(CUR_I_Report=2,Проект!F$98,1)</f>
        <v>0</v>
      </c>
      <c r="G168" s="134">
        <f ca="1">SUMPRODUCT($B7:OFFSET($B8,-1,0),G169:OFFSET(G170,-1,0))+$B$9*Компания!G241/IF(CUR_I_Report=2,Проект!G$98,1)</f>
        <v>-1609900</v>
      </c>
      <c r="H168" s="134">
        <f ca="1">SUMPRODUCT($B7:OFFSET($B8,-1,0),H169:OFFSET(H170,-1,0))+$B$9*Компания!H241/IF(CUR_I_Report=2,Проект!H$98,1)</f>
        <v>0</v>
      </c>
      <c r="I168" s="134">
        <f ca="1">SUMPRODUCT($B7:OFFSET($B8,-1,0),I169:OFFSET(I170,-1,0))+$B$9*Компания!I241/IF(CUR_I_Report=2,Проект!I$98,1)</f>
        <v>0</v>
      </c>
      <c r="J168" s="134">
        <f ca="1">SUMPRODUCT($B7:OFFSET($B8,-1,0),J169:OFFSET(J170,-1,0))+$B$9*Компания!J241/IF(CUR_I_Report=2,Проект!J$98,1)</f>
        <v>0</v>
      </c>
      <c r="K168" s="134">
        <f ca="1">SUMPRODUCT($B7:OFFSET($B8,-1,0),K169:OFFSET(K170,-1,0))+$B$9*Компания!K241/IF(CUR_I_Report=2,Проект!K$98,1)</f>
        <v>0</v>
      </c>
      <c r="L168" s="134"/>
      <c r="M168" s="134">
        <f t="shared" ref="M168:M177" ca="1" si="19">SUM(F168:K168)</f>
        <v>-1609900</v>
      </c>
    </row>
    <row r="169" spans="1:13" hidden="1" outlineLevel="2">
      <c r="A169" s="13" t="str">
        <f>A7</f>
        <v xml:space="preserve">    Ресторан восточной кухни</v>
      </c>
      <c r="B169" s="135"/>
      <c r="C169" s="132">
        <f t="shared" si="18"/>
        <v>0</v>
      </c>
      <c r="D169" s="135" t="s">
        <v>1316</v>
      </c>
      <c r="E169" s="135"/>
      <c r="F169" s="136">
        <f>Проект!F$869</f>
        <v>0</v>
      </c>
      <c r="G169" s="136">
        <f>Проект!G$869</f>
        <v>-1609900</v>
      </c>
      <c r="H169" s="136">
        <f>Проект!H$869</f>
        <v>0</v>
      </c>
      <c r="I169" s="136">
        <f>Проект!I$869</f>
        <v>0</v>
      </c>
      <c r="J169" s="136">
        <f>Проект!J$869</f>
        <v>0</v>
      </c>
      <c r="K169" s="136">
        <f>Проект!K$869</f>
        <v>0</v>
      </c>
      <c r="L169" s="136"/>
      <c r="M169" s="136">
        <f t="shared" si="19"/>
        <v>-1609900</v>
      </c>
    </row>
    <row r="170" spans="1:13" outlineLevel="1" collapsed="1">
      <c r="A170" s="2" t="str">
        <f ca="1">OFFSET(Язык!$A$433,0,LANGUAGE)</f>
        <v>Инвестиции в оборудование и другие активы</v>
      </c>
      <c r="C170" s="132">
        <f t="shared" si="18"/>
        <v>0</v>
      </c>
      <c r="D170" s="1" t="s">
        <v>1315</v>
      </c>
      <c r="F170" s="134">
        <f ca="1">SUMPRODUCT($B7:OFFSET($B8,-1,0),F171:OFFSET(F172,-1,0))+$B$9*Компания!F242/IF(CUR_I_Report=2,Проект!F$98,1)</f>
        <v>0</v>
      </c>
      <c r="G170" s="134">
        <f ca="1">SUMPRODUCT($B7:OFFSET($B8,-1,0),G171:OFFSET(G172,-1,0))+$B$9*Компания!G242/IF(CUR_I_Report=2,Проект!G$98,1)</f>
        <v>-1296099.9999999998</v>
      </c>
      <c r="H170" s="134">
        <f ca="1">SUMPRODUCT($B7:OFFSET($B8,-1,0),H171:OFFSET(H172,-1,0))+$B$9*Компания!H242/IF(CUR_I_Report=2,Проект!H$98,1)</f>
        <v>0</v>
      </c>
      <c r="I170" s="134">
        <f ca="1">SUMPRODUCT($B7:OFFSET($B8,-1,0),I171:OFFSET(I172,-1,0))+$B$9*Компания!I242/IF(CUR_I_Report=2,Проект!I$98,1)</f>
        <v>0</v>
      </c>
      <c r="J170" s="134">
        <f ca="1">SUMPRODUCT($B7:OFFSET($B8,-1,0),J171:OFFSET(J172,-1,0))+$B$9*Компания!J242/IF(CUR_I_Report=2,Проект!J$98,1)</f>
        <v>0</v>
      </c>
      <c r="K170" s="134">
        <f ca="1">SUMPRODUCT($B7:OFFSET($B8,-1,0),K171:OFFSET(K172,-1,0))+$B$9*Компания!K242/IF(CUR_I_Report=2,Проект!K$98,1)</f>
        <v>0</v>
      </c>
      <c r="L170" s="134"/>
      <c r="M170" s="134">
        <f t="shared" ca="1" si="19"/>
        <v>-1296099.9999999998</v>
      </c>
    </row>
    <row r="171" spans="1:13" hidden="1" outlineLevel="2">
      <c r="A171" s="13" t="str">
        <f>A7</f>
        <v xml:space="preserve">    Ресторан восточной кухни</v>
      </c>
      <c r="B171" s="135"/>
      <c r="C171" s="132">
        <f t="shared" si="18"/>
        <v>0</v>
      </c>
      <c r="D171" s="135" t="s">
        <v>1316</v>
      </c>
      <c r="E171" s="135"/>
      <c r="F171" s="136">
        <f>Проект!F$870</f>
        <v>0</v>
      </c>
      <c r="G171" s="136">
        <f>Проект!G$870</f>
        <v>-1296099.9999999998</v>
      </c>
      <c r="H171" s="136">
        <f>Проект!H$870</f>
        <v>0</v>
      </c>
      <c r="I171" s="136">
        <f>Проект!I$870</f>
        <v>0</v>
      </c>
      <c r="J171" s="136">
        <f>Проект!J$870</f>
        <v>0</v>
      </c>
      <c r="K171" s="136">
        <f>Проект!K$870</f>
        <v>0</v>
      </c>
      <c r="L171" s="136"/>
      <c r="M171" s="136">
        <f t="shared" si="19"/>
        <v>-1296099.9999999998</v>
      </c>
    </row>
    <row r="172" spans="1:13" outlineLevel="1" collapsed="1">
      <c r="A172" s="2" t="str">
        <f ca="1">OFFSET(Язык!$A$434,0,LANGUAGE)</f>
        <v>Оплата расходов будущих периодов</v>
      </c>
      <c r="C172" s="132">
        <f t="shared" si="18"/>
        <v>0</v>
      </c>
      <c r="D172" s="1" t="s">
        <v>1315</v>
      </c>
      <c r="F172" s="134">
        <f ca="1">SUMPRODUCT($B7:OFFSET($B8,-1,0),F173:OFFSET(F174,-1,0))+$B$9*Компания!F243/IF(CUR_I_Report=2,Проект!F$98,1)</f>
        <v>0</v>
      </c>
      <c r="G172" s="134">
        <f ca="1">SUMPRODUCT($B7:OFFSET($B8,-1,0),G173:OFFSET(G174,-1,0))+$B$9*Компания!G243/IF(CUR_I_Report=2,Проект!G$98,1)</f>
        <v>0</v>
      </c>
      <c r="H172" s="134">
        <f ca="1">SUMPRODUCT($B7:OFFSET($B8,-1,0),H173:OFFSET(H174,-1,0))+$B$9*Компания!H243/IF(CUR_I_Report=2,Проект!H$98,1)</f>
        <v>0</v>
      </c>
      <c r="I172" s="134">
        <f ca="1">SUMPRODUCT($B7:OFFSET($B8,-1,0),I173:OFFSET(I174,-1,0))+$B$9*Компания!I243/IF(CUR_I_Report=2,Проект!I$98,1)</f>
        <v>0</v>
      </c>
      <c r="J172" s="134">
        <f ca="1">SUMPRODUCT($B7:OFFSET($B8,-1,0),J173:OFFSET(J174,-1,0))+$B$9*Компания!J243/IF(CUR_I_Report=2,Проект!J$98,1)</f>
        <v>0</v>
      </c>
      <c r="K172" s="134">
        <f ca="1">SUMPRODUCT($B7:OFFSET($B8,-1,0),K173:OFFSET(K174,-1,0))+$B$9*Компания!K243/IF(CUR_I_Report=2,Проект!K$98,1)</f>
        <v>0</v>
      </c>
      <c r="L172" s="134"/>
      <c r="M172" s="134">
        <f t="shared" ca="1" si="19"/>
        <v>0</v>
      </c>
    </row>
    <row r="173" spans="1:13" hidden="1" outlineLevel="2">
      <c r="A173" s="13" t="str">
        <f>A7</f>
        <v xml:space="preserve">    Ресторан восточной кухни</v>
      </c>
      <c r="B173" s="135"/>
      <c r="C173" s="132">
        <f t="shared" si="18"/>
        <v>0</v>
      </c>
      <c r="D173" s="135" t="s">
        <v>1316</v>
      </c>
      <c r="E173" s="135"/>
      <c r="F173" s="136">
        <f>Проект!F$871</f>
        <v>0</v>
      </c>
      <c r="G173" s="136">
        <f>Проект!G$871</f>
        <v>0</v>
      </c>
      <c r="H173" s="136">
        <f>Проект!H$871</f>
        <v>0</v>
      </c>
      <c r="I173" s="136">
        <f>Проект!I$871</f>
        <v>0</v>
      </c>
      <c r="J173" s="136">
        <f>Проект!J$871</f>
        <v>0</v>
      </c>
      <c r="K173" s="136">
        <f>Проект!K$871</f>
        <v>0</v>
      </c>
      <c r="L173" s="136"/>
      <c r="M173" s="136">
        <f t="shared" si="19"/>
        <v>0</v>
      </c>
    </row>
    <row r="174" spans="1:13" outlineLevel="1" collapsed="1">
      <c r="A174" s="2" t="str">
        <f ca="1">OFFSET(Язык!$A$435,0,LANGUAGE)</f>
        <v>Инвестиции в оборотный капитал</v>
      </c>
      <c r="C174" s="132">
        <f t="shared" si="18"/>
        <v>0</v>
      </c>
      <c r="D174" s="1" t="s">
        <v>1315</v>
      </c>
      <c r="F174" s="134">
        <f ca="1">SUMPRODUCT($B7:OFFSET($B8,-1,0),F175:OFFSET(F176,-1,0))+$B$9*Компания!F244/IF(CUR_I_Report=2,Проект!F$98,1)</f>
        <v>0</v>
      </c>
      <c r="G174" s="134">
        <f ca="1">SUMPRODUCT($B7:OFFSET($B8,-1,0),G175:OFFSET(G176,-1,0))+$B$9*Компания!G244/IF(CUR_I_Report=2,Проект!G$98,1)</f>
        <v>84629.656944444461</v>
      </c>
      <c r="H174" s="134">
        <f ca="1">SUMPRODUCT($B7:OFFSET($B8,-1,0),H175:OFFSET(H176,-1,0))+$B$9*Компания!H244/IF(CUR_I_Report=2,Проект!H$98,1)</f>
        <v>42207.909756944544</v>
      </c>
      <c r="I174" s="134">
        <f ca="1">SUMPRODUCT($B7:OFFSET($B8,-1,0),I175:OFFSET(I176,-1,0))+$B$9*Компания!I244/IF(CUR_I_Report=2,Проект!I$98,1)</f>
        <v>12520.968371031806</v>
      </c>
      <c r="J174" s="134">
        <f ca="1">SUMPRODUCT($B7:OFFSET($B8,-1,0),J175:OFFSET(J176,-1,0))+$B$9*Компания!J244/IF(CUR_I_Report=2,Проект!J$98,1)</f>
        <v>52013.98071706359</v>
      </c>
      <c r="K174" s="134">
        <f ca="1">SUMPRODUCT($B7:OFFSET($B8,-1,0),K175:OFFSET(K176,-1,0))+$B$9*Компания!K244/IF(CUR_I_Report=2,Проект!K$98,1)</f>
        <v>54420.743654841237</v>
      </c>
      <c r="L174" s="134"/>
      <c r="M174" s="134">
        <f t="shared" ca="1" si="19"/>
        <v>245793.25944432564</v>
      </c>
    </row>
    <row r="175" spans="1:13" hidden="1" outlineLevel="2">
      <c r="A175" s="13" t="str">
        <f>A7</f>
        <v xml:space="preserve">    Ресторан восточной кухни</v>
      </c>
      <c r="B175" s="135"/>
      <c r="C175" s="132">
        <f t="shared" si="18"/>
        <v>0</v>
      </c>
      <c r="D175" s="135" t="s">
        <v>1316</v>
      </c>
      <c r="E175" s="135"/>
      <c r="F175" s="136">
        <f>Проект!F$872</f>
        <v>0</v>
      </c>
      <c r="G175" s="136">
        <f ca="1">Проект!G$872</f>
        <v>84629.656944444461</v>
      </c>
      <c r="H175" s="136">
        <f ca="1">Проект!H$872</f>
        <v>42207.909756944544</v>
      </c>
      <c r="I175" s="136">
        <f ca="1">Проект!I$872</f>
        <v>12520.968371031806</v>
      </c>
      <c r="J175" s="136">
        <f ca="1">Проект!J$872</f>
        <v>52013.98071706359</v>
      </c>
      <c r="K175" s="136">
        <f ca="1">Проект!K$872</f>
        <v>54420.743654841237</v>
      </c>
      <c r="L175" s="136"/>
      <c r="M175" s="136">
        <f t="shared" ca="1" si="19"/>
        <v>245793.25944432564</v>
      </c>
    </row>
    <row r="176" spans="1:13" outlineLevel="1" collapsed="1">
      <c r="A176" s="2" t="str">
        <f ca="1">OFFSET(Язык!$A$436,0,LANGUAGE)</f>
        <v>Выручка от реализации активов</v>
      </c>
      <c r="C176" s="132">
        <f t="shared" si="18"/>
        <v>0</v>
      </c>
      <c r="D176" s="1" t="s">
        <v>1315</v>
      </c>
      <c r="F176" s="134">
        <f ca="1">SUMPRODUCT($B7:OFFSET($B8,-1,0),F177:OFFSET(F178,-1,0))+$B$9*Компания!F245/IF(CUR_I_Report=2,Проект!F$98,1)</f>
        <v>0</v>
      </c>
      <c r="G176" s="134">
        <f ca="1">SUMPRODUCT($B7:OFFSET($B8,-1,0),G177:OFFSET(G178,-1,0))+$B$9*Компания!G245/IF(CUR_I_Report=2,Проект!G$98,1)</f>
        <v>0</v>
      </c>
      <c r="H176" s="134">
        <f ca="1">SUMPRODUCT($B7:OFFSET($B8,-1,0),H177:OFFSET(H178,-1,0))+$B$9*Компания!H245/IF(CUR_I_Report=2,Проект!H$98,1)</f>
        <v>0</v>
      </c>
      <c r="I176" s="134">
        <f ca="1">SUMPRODUCT($B7:OFFSET($B8,-1,0),I177:OFFSET(I178,-1,0))+$B$9*Компания!I245/IF(CUR_I_Report=2,Проект!I$98,1)</f>
        <v>0</v>
      </c>
      <c r="J176" s="134">
        <f ca="1">SUMPRODUCT($B7:OFFSET($B8,-1,0),J177:OFFSET(J178,-1,0))+$B$9*Компания!J245/IF(CUR_I_Report=2,Проект!J$98,1)</f>
        <v>0</v>
      </c>
      <c r="K176" s="134">
        <f ca="1">SUMPRODUCT($B7:OFFSET($B8,-1,0),K177:OFFSET(K178,-1,0))+$B$9*Компания!K245/IF(CUR_I_Report=2,Проект!K$98,1)</f>
        <v>0</v>
      </c>
      <c r="L176" s="134"/>
      <c r="M176" s="134">
        <f t="shared" ca="1" si="19"/>
        <v>0</v>
      </c>
    </row>
    <row r="177" spans="1:13" hidden="1" outlineLevel="2">
      <c r="A177" s="13" t="str">
        <f>A7</f>
        <v xml:space="preserve">    Ресторан восточной кухни</v>
      </c>
      <c r="B177" s="135"/>
      <c r="C177" s="132">
        <f t="shared" si="18"/>
        <v>0</v>
      </c>
      <c r="D177" s="135" t="s">
        <v>1316</v>
      </c>
      <c r="E177" s="135"/>
      <c r="F177" s="136">
        <f>Проект!F$873</f>
        <v>0</v>
      </c>
      <c r="G177" s="136">
        <f>Проект!G$873</f>
        <v>0</v>
      </c>
      <c r="H177" s="136">
        <f>Проект!H$873</f>
        <v>0</v>
      </c>
      <c r="I177" s="136">
        <f>Проект!I$873</f>
        <v>0</v>
      </c>
      <c r="J177" s="136">
        <f>Проект!J$873</f>
        <v>0</v>
      </c>
      <c r="K177" s="136">
        <f>Проект!K$873</f>
        <v>0</v>
      </c>
      <c r="L177" s="136"/>
      <c r="M177" s="136">
        <f t="shared" si="19"/>
        <v>0</v>
      </c>
    </row>
    <row r="178" spans="1:13" outlineLevel="1">
      <c r="A178" s="2"/>
      <c r="F178" s="134"/>
      <c r="G178" s="134"/>
      <c r="H178" s="134"/>
      <c r="I178" s="134"/>
      <c r="J178" s="134"/>
      <c r="K178" s="134"/>
      <c r="L178" s="134"/>
      <c r="M178" s="134"/>
    </row>
    <row r="179" spans="1:13" outlineLevel="1">
      <c r="A179" s="32" t="str">
        <f ca="1">OFFSET(Язык!$A$437,0,LANGUAGE)</f>
        <v>Денежные потоки от инвестиционной деятельности</v>
      </c>
      <c r="C179" s="132">
        <f>CUR_Report</f>
        <v>0</v>
      </c>
      <c r="D179" s="1" t="s">
        <v>1315</v>
      </c>
      <c r="F179" s="134">
        <f t="shared" ref="F179:J179" ca="1" si="20">F168+F170+F172+F174+F176</f>
        <v>0</v>
      </c>
      <c r="G179" s="134">
        <f t="shared" ca="1" si="20"/>
        <v>-2821370.3430555556</v>
      </c>
      <c r="H179" s="134">
        <f t="shared" ca="1" si="20"/>
        <v>42207.909756944544</v>
      </c>
      <c r="I179" s="134">
        <f t="shared" ca="1" si="20"/>
        <v>12520.968371031806</v>
      </c>
      <c r="J179" s="134">
        <f t="shared" ca="1" si="20"/>
        <v>52013.98071706359</v>
      </c>
      <c r="K179" s="134">
        <f t="shared" ref="K179" ca="1" si="21">K168+K170+K172+K174+K176</f>
        <v>54420.743654841237</v>
      </c>
      <c r="L179" s="134"/>
      <c r="M179" s="134">
        <f ca="1">SUM(F179:K179)</f>
        <v>-2660206.7405556748</v>
      </c>
    </row>
    <row r="180" spans="1:13" outlineLevel="1">
      <c r="A180" s="2"/>
      <c r="F180" s="134"/>
      <c r="G180" s="134"/>
      <c r="H180" s="134"/>
      <c r="I180" s="134"/>
      <c r="J180" s="134"/>
      <c r="K180" s="134"/>
      <c r="L180" s="134"/>
      <c r="M180" s="134"/>
    </row>
    <row r="181" spans="1:13" outlineLevel="1" collapsed="1">
      <c r="A181" s="2" t="str">
        <f ca="1">OFFSET(Язык!$A$438,0,LANGUAGE)</f>
        <v>Поступления акционерного капитала</v>
      </c>
      <c r="C181" s="132">
        <f t="shared" ref="C181:C192" si="22">CUR_Report</f>
        <v>0</v>
      </c>
      <c r="D181" s="1" t="s">
        <v>1315</v>
      </c>
      <c r="F181" s="134">
        <f ca="1">SUMPRODUCT($B7:OFFSET($B8,-1,0),F182:OFFSET(F183,-1,0))+$B$9*Компания!F249/IF(CUR_I_Report=2,Проект!F$98,1)</f>
        <v>0</v>
      </c>
      <c r="G181" s="134">
        <f ca="1">SUMPRODUCT($B7:OFFSET($B8,-1,0),G182:OFFSET(G183,-1,0))+$B$9*Компания!G249/IF(CUR_I_Report=2,Проект!G$98,1)</f>
        <v>0</v>
      </c>
      <c r="H181" s="134">
        <f ca="1">SUMPRODUCT($B7:OFFSET($B8,-1,0),H182:OFFSET(H183,-1,0))+$B$9*Компания!H249/IF(CUR_I_Report=2,Проект!H$98,1)</f>
        <v>0</v>
      </c>
      <c r="I181" s="134">
        <f ca="1">SUMPRODUCT($B7:OFFSET($B8,-1,0),I182:OFFSET(I183,-1,0))+$B$9*Компания!I249/IF(CUR_I_Report=2,Проект!I$98,1)</f>
        <v>0</v>
      </c>
      <c r="J181" s="134">
        <f ca="1">SUMPRODUCT($B7:OFFSET($B8,-1,0),J182:OFFSET(J183,-1,0))+$B$9*Компания!J249/IF(CUR_I_Report=2,Проект!J$98,1)</f>
        <v>0</v>
      </c>
      <c r="K181" s="134">
        <f ca="1">SUMPRODUCT($B7:OFFSET($B8,-1,0),K182:OFFSET(K183,-1,0))+$B$9*Компания!K249/IF(CUR_I_Report=2,Проект!K$98,1)</f>
        <v>0</v>
      </c>
      <c r="L181" s="134"/>
      <c r="M181" s="134">
        <f t="shared" ref="M181:M192" ca="1" si="23">SUM(F181:K181)</f>
        <v>0</v>
      </c>
    </row>
    <row r="182" spans="1:13" hidden="1" outlineLevel="2">
      <c r="A182" s="13" t="str">
        <f>A7</f>
        <v xml:space="preserve">    Ресторан восточной кухни</v>
      </c>
      <c r="B182" s="135"/>
      <c r="C182" s="132">
        <f t="shared" si="22"/>
        <v>0</v>
      </c>
      <c r="D182" s="135" t="s">
        <v>1316</v>
      </c>
      <c r="E182" s="135"/>
      <c r="F182" s="136">
        <f>Проект!F$877</f>
        <v>0</v>
      </c>
      <c r="G182" s="136">
        <f>Проект!G$877</f>
        <v>0</v>
      </c>
      <c r="H182" s="136">
        <f>Проект!H$877</f>
        <v>0</v>
      </c>
      <c r="I182" s="136">
        <f>Проект!I$877</f>
        <v>0</v>
      </c>
      <c r="J182" s="136">
        <f>Проект!J$877</f>
        <v>0</v>
      </c>
      <c r="K182" s="136">
        <f>Проект!K$877</f>
        <v>0</v>
      </c>
      <c r="L182" s="136"/>
      <c r="M182" s="136">
        <f t="shared" si="23"/>
        <v>0</v>
      </c>
    </row>
    <row r="183" spans="1:13" outlineLevel="1" collapsed="1">
      <c r="A183" s="2" t="str">
        <f ca="1">OFFSET(Язык!$A$439,0,LANGUAGE)</f>
        <v>Целевое финансирование</v>
      </c>
      <c r="B183" s="135"/>
      <c r="C183" s="132">
        <f t="shared" si="22"/>
        <v>0</v>
      </c>
      <c r="D183" s="1" t="s">
        <v>1315</v>
      </c>
      <c r="E183" s="135"/>
      <c r="F183" s="134">
        <f ca="1">SUMPRODUCT($B7:OFFSET($B8,-1,0),F184:OFFSET(F185,-1,0))+$B$9*Компания!F250/IF(CUR_I_Report=2,Проект!F$98,1)</f>
        <v>0</v>
      </c>
      <c r="G183" s="134">
        <f ca="1">SUMPRODUCT($B7:OFFSET($B8,-1,0),G184:OFFSET(G185,-1,0))+$B$9*Компания!G250/IF(CUR_I_Report=2,Проект!G$98,1)</f>
        <v>0</v>
      </c>
      <c r="H183" s="134">
        <f ca="1">SUMPRODUCT($B7:OFFSET($B8,-1,0),H184:OFFSET(H185,-1,0))+$B$9*Компания!H250/IF(CUR_I_Report=2,Проект!H$98,1)</f>
        <v>0</v>
      </c>
      <c r="I183" s="134">
        <f ca="1">SUMPRODUCT($B7:OFFSET($B8,-1,0),I184:OFFSET(I185,-1,0))+$B$9*Компания!I250/IF(CUR_I_Report=2,Проект!I$98,1)</f>
        <v>0</v>
      </c>
      <c r="J183" s="134">
        <f ca="1">SUMPRODUCT($B7:OFFSET($B8,-1,0),J184:OFFSET(J185,-1,0))+$B$9*Компания!J250/IF(CUR_I_Report=2,Проект!J$98,1)</f>
        <v>0</v>
      </c>
      <c r="K183" s="134">
        <f ca="1">SUMPRODUCT($B7:OFFSET($B8,-1,0),K184:OFFSET(K185,-1,0))+$B$9*Компания!K250/IF(CUR_I_Report=2,Проект!K$98,1)</f>
        <v>0</v>
      </c>
      <c r="L183" s="136"/>
      <c r="M183" s="134">
        <f t="shared" ca="1" si="23"/>
        <v>0</v>
      </c>
    </row>
    <row r="184" spans="1:13" hidden="1" outlineLevel="2">
      <c r="A184" s="13" t="str">
        <f>A7</f>
        <v xml:space="preserve">    Ресторан восточной кухни</v>
      </c>
      <c r="B184" s="135"/>
      <c r="C184" s="132">
        <f t="shared" si="22"/>
        <v>0</v>
      </c>
      <c r="D184" s="135" t="s">
        <v>1316</v>
      </c>
      <c r="E184" s="135"/>
      <c r="F184" s="136">
        <f>Проект!F$878</f>
        <v>0</v>
      </c>
      <c r="G184" s="136">
        <f>Проект!G$878</f>
        <v>0</v>
      </c>
      <c r="H184" s="136">
        <f>Проект!H$878</f>
        <v>0</v>
      </c>
      <c r="I184" s="136">
        <f>Проект!I$878</f>
        <v>0</v>
      </c>
      <c r="J184" s="136">
        <f>Проект!J$878</f>
        <v>0</v>
      </c>
      <c r="K184" s="136">
        <f>Проект!K$878</f>
        <v>0</v>
      </c>
      <c r="L184" s="136"/>
      <c r="M184" s="136">
        <f t="shared" si="23"/>
        <v>0</v>
      </c>
    </row>
    <row r="185" spans="1:13" outlineLevel="1" collapsed="1">
      <c r="A185" s="2" t="str">
        <f ca="1">OFFSET(Язык!$A$440,0,LANGUAGE)</f>
        <v>Поступления кредитов</v>
      </c>
      <c r="C185" s="132">
        <f t="shared" si="22"/>
        <v>0</v>
      </c>
      <c r="D185" s="1" t="s">
        <v>1315</v>
      </c>
      <c r="F185" s="134">
        <f ca="1">SUMPRODUCT($B7:OFFSET($B8,-1,0),F186:OFFSET(F187,-1,0))+$B$9*Компания!F251/IF(CUR_I_Report=2,Проект!F$98,1)</f>
        <v>0</v>
      </c>
      <c r="G185" s="134">
        <f ca="1">SUMPRODUCT($B7:OFFSET($B8,-1,0),G186:OFFSET(G187,-1,0))+$B$9*Компания!G251/IF(CUR_I_Report=2,Проект!G$98,1)</f>
        <v>2906000</v>
      </c>
      <c r="H185" s="134">
        <f ca="1">SUMPRODUCT($B7:OFFSET($B8,-1,0),H186:OFFSET(H187,-1,0))+$B$9*Компания!H251/IF(CUR_I_Report=2,Проект!H$98,1)</f>
        <v>0</v>
      </c>
      <c r="I185" s="134">
        <f ca="1">SUMPRODUCT($B7:OFFSET($B8,-1,0),I186:OFFSET(I187,-1,0))+$B$9*Компания!I251/IF(CUR_I_Report=2,Проект!I$98,1)</f>
        <v>0</v>
      </c>
      <c r="J185" s="134">
        <f ca="1">SUMPRODUCT($B7:OFFSET($B8,-1,0),J186:OFFSET(J187,-1,0))+$B$9*Компания!J251/IF(CUR_I_Report=2,Проект!J$98,1)</f>
        <v>0</v>
      </c>
      <c r="K185" s="134">
        <f ca="1">SUMPRODUCT($B7:OFFSET($B8,-1,0),K186:OFFSET(K187,-1,0))+$B$9*Компания!K251/IF(CUR_I_Report=2,Проект!K$98,1)</f>
        <v>0</v>
      </c>
      <c r="L185" s="134"/>
      <c r="M185" s="134">
        <f t="shared" ca="1" si="23"/>
        <v>2906000</v>
      </c>
    </row>
    <row r="186" spans="1:13" hidden="1" outlineLevel="2">
      <c r="A186" s="13" t="str">
        <f>A7</f>
        <v xml:space="preserve">    Ресторан восточной кухни</v>
      </c>
      <c r="B186" s="135"/>
      <c r="C186" s="132">
        <f t="shared" si="22"/>
        <v>0</v>
      </c>
      <c r="D186" s="135" t="s">
        <v>1316</v>
      </c>
      <c r="E186" s="135"/>
      <c r="F186" s="136">
        <f>Проект!F$879</f>
        <v>0</v>
      </c>
      <c r="G186" s="136">
        <f>Проект!G$879</f>
        <v>2906000</v>
      </c>
      <c r="H186" s="136">
        <f>Проект!H$879</f>
        <v>0</v>
      </c>
      <c r="I186" s="136">
        <f>Проект!I$879</f>
        <v>0</v>
      </c>
      <c r="J186" s="136">
        <f>Проект!J$879</f>
        <v>0</v>
      </c>
      <c r="K186" s="136">
        <f>Проект!K$879</f>
        <v>0</v>
      </c>
      <c r="L186" s="136"/>
      <c r="M186" s="136">
        <f t="shared" si="23"/>
        <v>2906000</v>
      </c>
    </row>
    <row r="187" spans="1:13" outlineLevel="1" collapsed="1">
      <c r="A187" s="2" t="str">
        <f ca="1">OFFSET(Язык!$A$441,0,LANGUAGE)</f>
        <v>Возврат кредитов</v>
      </c>
      <c r="C187" s="132">
        <f t="shared" si="22"/>
        <v>0</v>
      </c>
      <c r="D187" s="1" t="s">
        <v>1315</v>
      </c>
      <c r="F187" s="134">
        <f ca="1">SUMPRODUCT($B7:OFFSET($B8,-1,0),F188:OFFSET(F189,-1,0))+$B$9*Компания!F252/IF(CUR_I_Report=2,Проект!F$98,1)</f>
        <v>0</v>
      </c>
      <c r="G187" s="134">
        <f ca="1">SUMPRODUCT($B7:OFFSET($B8,-1,0),G188:OFFSET(G189,-1,0))+$B$9*Компания!G252/IF(CUR_I_Report=2,Проект!G$98,1)</f>
        <v>0</v>
      </c>
      <c r="H187" s="134">
        <f ca="1">SUMPRODUCT($B7:OFFSET($B8,-1,0),H188:OFFSET(H189,-1,0))+$B$9*Компания!H252/IF(CUR_I_Report=2,Проект!H$98,1)</f>
        <v>-970000</v>
      </c>
      <c r="I187" s="134">
        <f ca="1">SUMPRODUCT($B7:OFFSET($B8,-1,0),I188:OFFSET(I189,-1,0))+$B$9*Компания!I252/IF(CUR_I_Report=2,Проект!I$98,1)</f>
        <v>-970000</v>
      </c>
      <c r="J187" s="134">
        <f ca="1">SUMPRODUCT($B7:OFFSET($B8,-1,0),J188:OFFSET(J189,-1,0))+$B$9*Компания!J252/IF(CUR_I_Report=2,Проект!J$98,1)</f>
        <v>-966000</v>
      </c>
      <c r="K187" s="134">
        <f ca="1">SUMPRODUCT($B7:OFFSET($B8,-1,0),K188:OFFSET(K189,-1,0))+$B$9*Компания!K252/IF(CUR_I_Report=2,Проект!K$98,1)</f>
        <v>0</v>
      </c>
      <c r="L187" s="134"/>
      <c r="M187" s="134">
        <f t="shared" ca="1" si="23"/>
        <v>-2906000</v>
      </c>
    </row>
    <row r="188" spans="1:13" hidden="1" outlineLevel="2">
      <c r="A188" s="13" t="str">
        <f>A7</f>
        <v xml:space="preserve">    Ресторан восточной кухни</v>
      </c>
      <c r="B188" s="135"/>
      <c r="C188" s="132">
        <f t="shared" si="22"/>
        <v>0</v>
      </c>
      <c r="D188" s="135" t="s">
        <v>1316</v>
      </c>
      <c r="E188" s="135"/>
      <c r="F188" s="136">
        <f>Проект!F$880</f>
        <v>0</v>
      </c>
      <c r="G188" s="136">
        <f>Проект!G$880</f>
        <v>0</v>
      </c>
      <c r="H188" s="136">
        <f>Проект!H$880</f>
        <v>-970000</v>
      </c>
      <c r="I188" s="136">
        <f>Проект!I$880</f>
        <v>-970000</v>
      </c>
      <c r="J188" s="136">
        <f>Проект!J$880</f>
        <v>-966000</v>
      </c>
      <c r="K188" s="136">
        <f>Проект!K$880</f>
        <v>0</v>
      </c>
      <c r="L188" s="136"/>
      <c r="M188" s="136">
        <f t="shared" si="23"/>
        <v>-2906000</v>
      </c>
    </row>
    <row r="189" spans="1:13" outlineLevel="1" collapsed="1">
      <c r="A189" s="2" t="str">
        <f ca="1">OFFSET(Язык!$A$442,0,LANGUAGE)</f>
        <v>Лизинговые платежи</v>
      </c>
      <c r="C189" s="132">
        <f t="shared" si="22"/>
        <v>0</v>
      </c>
      <c r="D189" s="1" t="s">
        <v>1315</v>
      </c>
      <c r="F189" s="134">
        <f ca="1">SUMPRODUCT($B7:OFFSET($B8,-1,0),F190:OFFSET(F191,-1,0))+$B$9*Компания!F253/IF(CUR_I_Report=2,Проект!F$98,1)</f>
        <v>0</v>
      </c>
      <c r="G189" s="134">
        <f ca="1">SUMPRODUCT($B7:OFFSET($B8,-1,0),G190:OFFSET(G191,-1,0))+$B$9*Компания!G253/IF(CUR_I_Report=2,Проект!G$98,1)</f>
        <v>0</v>
      </c>
      <c r="H189" s="134">
        <f ca="1">SUMPRODUCT($B7:OFFSET($B8,-1,0),H190:OFFSET(H191,-1,0))+$B$9*Компания!H253/IF(CUR_I_Report=2,Проект!H$98,1)</f>
        <v>0</v>
      </c>
      <c r="I189" s="134">
        <f ca="1">SUMPRODUCT($B7:OFFSET($B8,-1,0),I190:OFFSET(I191,-1,0))+$B$9*Компания!I253/IF(CUR_I_Report=2,Проект!I$98,1)</f>
        <v>0</v>
      </c>
      <c r="J189" s="134">
        <f ca="1">SUMPRODUCT($B7:OFFSET($B8,-1,0),J190:OFFSET(J191,-1,0))+$B$9*Компания!J253/IF(CUR_I_Report=2,Проект!J$98,1)</f>
        <v>0</v>
      </c>
      <c r="K189" s="134">
        <f ca="1">SUMPRODUCT($B7:OFFSET($B8,-1,0),K190:OFFSET(K191,-1,0))+$B$9*Компания!K253/IF(CUR_I_Report=2,Проект!K$98,1)</f>
        <v>0</v>
      </c>
      <c r="L189" s="134"/>
      <c r="M189" s="134">
        <f t="shared" ca="1" si="23"/>
        <v>0</v>
      </c>
    </row>
    <row r="190" spans="1:13" hidden="1" outlineLevel="2">
      <c r="A190" s="13" t="str">
        <f>A7</f>
        <v xml:space="preserve">    Ресторан восточной кухни</v>
      </c>
      <c r="B190" s="135"/>
      <c r="C190" s="132">
        <f t="shared" si="22"/>
        <v>0</v>
      </c>
      <c r="D190" s="135" t="s">
        <v>1316</v>
      </c>
      <c r="E190" s="135"/>
      <c r="F190" s="136">
        <f ca="1">Проект!F$881</f>
        <v>0</v>
      </c>
      <c r="G190" s="136">
        <f ca="1">Проект!G$881</f>
        <v>0</v>
      </c>
      <c r="H190" s="136">
        <f ca="1">Проект!H$881</f>
        <v>0</v>
      </c>
      <c r="I190" s="136">
        <f ca="1">Проект!I$881</f>
        <v>0</v>
      </c>
      <c r="J190" s="136">
        <f ca="1">Проект!J$881</f>
        <v>0</v>
      </c>
      <c r="K190" s="136">
        <f ca="1">Проект!K$881</f>
        <v>0</v>
      </c>
      <c r="L190" s="136"/>
      <c r="M190" s="136">
        <f t="shared" ca="1" si="23"/>
        <v>0</v>
      </c>
    </row>
    <row r="191" spans="1:13" outlineLevel="1" collapsed="1">
      <c r="A191" s="2" t="str">
        <f ca="1">OFFSET(Язык!$A$443,0,LANGUAGE)</f>
        <v>Выплата дивидендов</v>
      </c>
      <c r="C191" s="132">
        <f t="shared" si="22"/>
        <v>0</v>
      </c>
      <c r="D191" s="1" t="s">
        <v>1315</v>
      </c>
      <c r="F191" s="134">
        <f ca="1">SUMPRODUCT($B7:OFFSET($B8,-1,0),F192:OFFSET(F193,-1,0))-SUMPRODUCT($B7:OFFSET($B8,-1,0),F44:OFFSET(F45,-1,0))+F43/IF(CUR_I_Report=2,Проект!F$98,1)</f>
        <v>0</v>
      </c>
      <c r="G191" s="134">
        <f ca="1">SUMPRODUCT($B7:OFFSET($B8,-1,0),G192:OFFSET(G193,-1,0))-SUMPRODUCT($B7:OFFSET($B8,-1,0),G44:OFFSET(G45,-1,0))+G43/IF(CUR_I_Report=2,Проект!G$98,1)</f>
        <v>0</v>
      </c>
      <c r="H191" s="134">
        <f ca="1">SUMPRODUCT($B7:OFFSET($B8,-1,0),H192:OFFSET(H193,-1,0))-SUMPRODUCT($B7:OFFSET($B8,-1,0),H44:OFFSET(H45,-1,0))+H43/IF(CUR_I_Report=2,Проект!H$98,1)</f>
        <v>0</v>
      </c>
      <c r="I191" s="134">
        <f ca="1">SUMPRODUCT($B7:OFFSET($B8,-1,0),I192:OFFSET(I193,-1,0))-SUMPRODUCT($B7:OFFSET($B8,-1,0),I44:OFFSET(I45,-1,0))+I43/IF(CUR_I_Report=2,Проект!I$98,1)</f>
        <v>0</v>
      </c>
      <c r="J191" s="134">
        <f ca="1">SUMPRODUCT($B7:OFFSET($B8,-1,0),J192:OFFSET(J193,-1,0))-SUMPRODUCT($B7:OFFSET($B8,-1,0),J44:OFFSET(J45,-1,0))+J43/IF(CUR_I_Report=2,Проект!J$98,1)</f>
        <v>0</v>
      </c>
      <c r="K191" s="134">
        <f ca="1">SUMPRODUCT($B7:OFFSET($B8,-1,0),K192:OFFSET(K193,-1,0))-SUMPRODUCT($B7:OFFSET($B8,-1,0),K44:OFFSET(K45,-1,0))+K43/IF(CUR_I_Report=2,Проект!K$98,1)</f>
        <v>0</v>
      </c>
      <c r="L191" s="134"/>
      <c r="M191" s="134">
        <f t="shared" ca="1" si="23"/>
        <v>0</v>
      </c>
    </row>
    <row r="192" spans="1:13" hidden="1" outlineLevel="2">
      <c r="A192" s="13" t="str">
        <f>A7</f>
        <v xml:space="preserve">    Ресторан восточной кухни</v>
      </c>
      <c r="B192" s="135"/>
      <c r="C192" s="132">
        <f t="shared" si="22"/>
        <v>0</v>
      </c>
      <c r="D192" s="135" t="s">
        <v>1316</v>
      </c>
      <c r="E192" s="135"/>
      <c r="F192" s="136">
        <f>Проект!F$882</f>
        <v>0</v>
      </c>
      <c r="G192" s="136">
        <f ca="1">Проект!G$882</f>
        <v>0</v>
      </c>
      <c r="H192" s="136">
        <f ca="1">Проект!H$882</f>
        <v>0</v>
      </c>
      <c r="I192" s="136">
        <f ca="1">Проект!I$882</f>
        <v>0</v>
      </c>
      <c r="J192" s="136">
        <f ca="1">Проект!J$882</f>
        <v>0</v>
      </c>
      <c r="K192" s="136">
        <f ca="1">Проект!K$882</f>
        <v>0</v>
      </c>
      <c r="L192" s="136"/>
      <c r="M192" s="136">
        <f t="shared" ca="1" si="23"/>
        <v>0</v>
      </c>
    </row>
    <row r="193" spans="1:13" outlineLevel="1">
      <c r="A193" s="2"/>
      <c r="F193" s="134"/>
      <c r="G193" s="134"/>
      <c r="H193" s="134"/>
      <c r="I193" s="134"/>
      <c r="J193" s="134"/>
      <c r="K193" s="134"/>
      <c r="L193" s="134"/>
      <c r="M193" s="134"/>
    </row>
    <row r="194" spans="1:13" outlineLevel="1">
      <c r="A194" s="32" t="str">
        <f ca="1">OFFSET(Язык!$A$444,0,LANGUAGE)</f>
        <v>Денежные потоки от финансовой деятельности</v>
      </c>
      <c r="C194" s="132">
        <f>CUR_Report</f>
        <v>0</v>
      </c>
      <c r="D194" s="1" t="s">
        <v>1315</v>
      </c>
      <c r="F194" s="134">
        <f t="shared" ref="F194:J194" ca="1" si="24">F181+F183+F185+F187+F189+F191</f>
        <v>0</v>
      </c>
      <c r="G194" s="134">
        <f t="shared" ca="1" si="24"/>
        <v>2906000</v>
      </c>
      <c r="H194" s="134">
        <f t="shared" ca="1" si="24"/>
        <v>-970000</v>
      </c>
      <c r="I194" s="134">
        <f t="shared" ca="1" si="24"/>
        <v>-970000</v>
      </c>
      <c r="J194" s="134">
        <f t="shared" ca="1" si="24"/>
        <v>-966000</v>
      </c>
      <c r="K194" s="134">
        <f t="shared" ref="K194" ca="1" si="25">K181+K183+K185+K187+K189+K191</f>
        <v>0</v>
      </c>
      <c r="L194" s="134"/>
      <c r="M194" s="134">
        <f ca="1">SUM(F194:K194)</f>
        <v>0</v>
      </c>
    </row>
    <row r="195" spans="1:13" outlineLevel="1">
      <c r="A195" s="2"/>
      <c r="F195" s="134"/>
      <c r="G195" s="134"/>
      <c r="H195" s="134"/>
      <c r="I195" s="134"/>
      <c r="J195" s="134"/>
      <c r="K195" s="134"/>
      <c r="L195" s="134"/>
      <c r="M195" s="134"/>
    </row>
    <row r="196" spans="1:13" outlineLevel="1">
      <c r="A196" s="32" t="str">
        <f ca="1">OFFSET(Язык!$A$445,0,LANGUAGE)</f>
        <v>Суммарный денежный поток за период</v>
      </c>
      <c r="C196" s="132">
        <f>CUR_Report</f>
        <v>0</v>
      </c>
      <c r="D196" s="1" t="s">
        <v>1315</v>
      </c>
      <c r="F196" s="134">
        <f t="shared" ref="F196:J196" ca="1" si="26">F166+F179+F194</f>
        <v>0</v>
      </c>
      <c r="G196" s="134">
        <f t="shared" ca="1" si="26"/>
        <v>526044.88551587285</v>
      </c>
      <c r="H196" s="134">
        <f t="shared" ca="1" si="26"/>
        <v>475519.01761408756</v>
      </c>
      <c r="I196" s="134">
        <f t="shared" ca="1" si="26"/>
        <v>27413.206799603766</v>
      </c>
      <c r="J196" s="134">
        <f t="shared" ca="1" si="26"/>
        <v>302756.49691706477</v>
      </c>
      <c r="K196" s="134">
        <f t="shared" ref="K196" ca="1" si="27">K166+K179+K194</f>
        <v>1514352.7275462716</v>
      </c>
      <c r="L196" s="134"/>
      <c r="M196" s="134">
        <f ca="1">SUM(F196:K196)</f>
        <v>2846086.3343929006</v>
      </c>
    </row>
    <row r="197" spans="1:13" outlineLevel="1">
      <c r="A197" s="11" t="str">
        <f ca="1">OFFSET(Язык!$A$446,0,LANGUAGE)</f>
        <v>Денежные средства на конец периода</v>
      </c>
      <c r="C197" s="132">
        <f>CUR_Report</f>
        <v>0</v>
      </c>
      <c r="D197" s="1" t="s">
        <v>1736</v>
      </c>
      <c r="F197" s="134">
        <f t="shared" ref="F197:K197" ca="1" si="28">E197+F196</f>
        <v>0</v>
      </c>
      <c r="G197" s="134">
        <f t="shared" ca="1" si="28"/>
        <v>526044.88551587285</v>
      </c>
      <c r="H197" s="134">
        <f t="shared" ca="1" si="28"/>
        <v>1001563.9031299604</v>
      </c>
      <c r="I197" s="134">
        <f t="shared" ca="1" si="28"/>
        <v>1028977.1099295642</v>
      </c>
      <c r="J197" s="134">
        <f t="shared" ca="1" si="28"/>
        <v>1331733.6068466289</v>
      </c>
      <c r="K197" s="134">
        <f t="shared" ca="1" si="28"/>
        <v>2846086.3343929006</v>
      </c>
      <c r="L197" s="134"/>
      <c r="M197" s="134"/>
    </row>
    <row r="198" spans="1:13" outlineLevel="1">
      <c r="A198" s="68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</row>
    <row r="199" spans="1:13" s="2" customFormat="1" outlineLevel="1" collapsed="1">
      <c r="A199" s="37" t="str">
        <f ca="1">OFFSET(Язык!$A$447,0,LANGUAGE)</f>
        <v>График: Движение денежных средств</v>
      </c>
      <c r="B199" s="76"/>
      <c r="C199" s="6"/>
    </row>
    <row r="200" spans="1:13" s="2" customFormat="1" hidden="1" outlineLevel="2">
      <c r="B200" s="76"/>
      <c r="C200" s="6"/>
    </row>
    <row r="201" spans="1:13" s="2" customFormat="1" hidden="1" outlineLevel="2">
      <c r="B201" s="76"/>
      <c r="C201" s="6"/>
    </row>
    <row r="202" spans="1:13" s="2" customFormat="1" hidden="1" outlineLevel="2">
      <c r="B202" s="76"/>
      <c r="C202" s="6"/>
    </row>
    <row r="203" spans="1:13" s="2" customFormat="1" hidden="1" outlineLevel="2">
      <c r="B203" s="76"/>
      <c r="C203" s="6"/>
    </row>
    <row r="204" spans="1:13" s="2" customFormat="1" hidden="1" outlineLevel="2">
      <c r="B204" s="76"/>
      <c r="C204" s="6"/>
    </row>
    <row r="205" spans="1:13" s="2" customFormat="1" hidden="1" outlineLevel="2">
      <c r="B205" s="76"/>
      <c r="C205" s="6"/>
    </row>
    <row r="206" spans="1:13" s="2" customFormat="1" hidden="1" outlineLevel="2">
      <c r="B206" s="76"/>
      <c r="C206" s="6"/>
    </row>
    <row r="207" spans="1:13" s="2" customFormat="1" hidden="1" outlineLevel="2">
      <c r="B207" s="76"/>
      <c r="C207" s="6"/>
    </row>
    <row r="208" spans="1:13" s="2" customFormat="1" hidden="1" outlineLevel="2">
      <c r="B208" s="76"/>
      <c r="C208" s="6"/>
    </row>
    <row r="209" spans="1:3" s="2" customFormat="1" hidden="1" outlineLevel="2">
      <c r="B209" s="76"/>
      <c r="C209" s="6"/>
    </row>
    <row r="210" spans="1:3" s="2" customFormat="1" hidden="1" outlineLevel="2">
      <c r="B210" s="76"/>
      <c r="C210" s="6"/>
    </row>
    <row r="211" spans="1:3" s="2" customFormat="1" hidden="1" outlineLevel="2">
      <c r="B211" s="76"/>
      <c r="C211" s="6"/>
    </row>
    <row r="212" spans="1:3" s="2" customFormat="1" hidden="1" outlineLevel="2">
      <c r="B212" s="76"/>
      <c r="C212" s="6"/>
    </row>
    <row r="213" spans="1:3" s="2" customFormat="1" hidden="1" outlineLevel="2">
      <c r="B213" s="76"/>
      <c r="C213" s="6"/>
    </row>
    <row r="214" spans="1:3" s="2" customFormat="1" hidden="1" outlineLevel="2">
      <c r="B214" s="76"/>
      <c r="C214" s="6"/>
    </row>
    <row r="215" spans="1:3" s="2" customFormat="1" hidden="1" outlineLevel="2">
      <c r="B215" s="76"/>
      <c r="C215" s="6"/>
    </row>
    <row r="216" spans="1:3" s="2" customFormat="1" hidden="1" outlineLevel="2">
      <c r="B216" s="76"/>
      <c r="C216" s="6"/>
    </row>
    <row r="217" spans="1:3" s="2" customFormat="1" hidden="1" outlineLevel="2">
      <c r="B217" s="76"/>
      <c r="C217" s="6"/>
    </row>
    <row r="218" spans="1:3" s="2" customFormat="1" hidden="1" outlineLevel="2">
      <c r="B218" s="76"/>
      <c r="C218" s="6"/>
    </row>
    <row r="219" spans="1:3" s="2" customFormat="1" hidden="1" outlineLevel="2">
      <c r="B219" s="76"/>
      <c r="C219" s="6"/>
    </row>
    <row r="220" spans="1:3" s="2" customFormat="1" hidden="1" outlineLevel="2">
      <c r="B220" s="76"/>
      <c r="C220" s="6"/>
    </row>
    <row r="221" spans="1:3" s="2" customFormat="1" hidden="1" outlineLevel="2">
      <c r="B221" s="76"/>
      <c r="C221" s="6"/>
    </row>
    <row r="222" spans="1:3" s="2" customFormat="1" hidden="1" outlineLevel="2">
      <c r="B222" s="76"/>
      <c r="C222" s="6"/>
    </row>
    <row r="223" spans="1:3" s="2" customFormat="1" outlineLevel="1">
      <c r="B223" s="6"/>
      <c r="C223" s="6"/>
    </row>
    <row r="224" spans="1:3" s="2" customFormat="1" outlineLevel="1" collapsed="1">
      <c r="A224" s="37" t="str">
        <f ca="1">OFFSET(Язык!$A$448,0,LANGUAGE)</f>
        <v>График: Остаток средств</v>
      </c>
      <c r="B224" s="76"/>
      <c r="C224" s="6"/>
    </row>
    <row r="225" spans="2:3" s="2" customFormat="1" hidden="1" outlineLevel="2">
      <c r="B225" s="76"/>
      <c r="C225" s="6"/>
    </row>
    <row r="226" spans="2:3" s="2" customFormat="1" hidden="1" outlineLevel="2">
      <c r="B226" s="76"/>
      <c r="C226" s="6"/>
    </row>
    <row r="227" spans="2:3" s="2" customFormat="1" hidden="1" outlineLevel="2">
      <c r="B227" s="76"/>
      <c r="C227" s="6"/>
    </row>
    <row r="228" spans="2:3" s="2" customFormat="1" hidden="1" outlineLevel="2">
      <c r="B228" s="76"/>
      <c r="C228" s="6"/>
    </row>
    <row r="229" spans="2:3" s="2" customFormat="1" hidden="1" outlineLevel="2">
      <c r="B229" s="76"/>
      <c r="C229" s="6"/>
    </row>
    <row r="230" spans="2:3" s="2" customFormat="1" hidden="1" outlineLevel="2">
      <c r="B230" s="76"/>
      <c r="C230" s="6"/>
    </row>
    <row r="231" spans="2:3" s="2" customFormat="1" hidden="1" outlineLevel="2">
      <c r="B231" s="76"/>
      <c r="C231" s="6"/>
    </row>
    <row r="232" spans="2:3" s="2" customFormat="1" hidden="1" outlineLevel="2">
      <c r="B232" s="76"/>
      <c r="C232" s="6"/>
    </row>
    <row r="233" spans="2:3" s="2" customFormat="1" hidden="1" outlineLevel="2">
      <c r="B233" s="76"/>
      <c r="C233" s="6"/>
    </row>
    <row r="234" spans="2:3" s="2" customFormat="1" hidden="1" outlineLevel="2">
      <c r="B234" s="76"/>
      <c r="C234" s="6"/>
    </row>
    <row r="235" spans="2:3" s="2" customFormat="1" hidden="1" outlineLevel="2">
      <c r="B235" s="76"/>
      <c r="C235" s="6"/>
    </row>
    <row r="236" spans="2:3" s="2" customFormat="1" hidden="1" outlineLevel="2">
      <c r="B236" s="76"/>
      <c r="C236" s="6"/>
    </row>
    <row r="237" spans="2:3" s="2" customFormat="1" hidden="1" outlineLevel="2">
      <c r="B237" s="76"/>
      <c r="C237" s="6"/>
    </row>
    <row r="238" spans="2:3" s="2" customFormat="1" hidden="1" outlineLevel="2">
      <c r="B238" s="76"/>
      <c r="C238" s="6"/>
    </row>
    <row r="239" spans="2:3" s="2" customFormat="1" hidden="1" outlineLevel="2">
      <c r="B239" s="76"/>
      <c r="C239" s="6"/>
    </row>
    <row r="240" spans="2:3" s="2" customFormat="1" hidden="1" outlineLevel="2">
      <c r="B240" s="76"/>
      <c r="C240" s="6"/>
    </row>
    <row r="241" spans="1:13" s="2" customFormat="1" hidden="1" outlineLevel="2">
      <c r="B241" s="76"/>
      <c r="C241" s="6"/>
    </row>
    <row r="242" spans="1:13" s="2" customFormat="1" hidden="1" outlineLevel="2">
      <c r="B242" s="76"/>
      <c r="C242" s="6"/>
    </row>
    <row r="243" spans="1:13" s="2" customFormat="1" hidden="1" outlineLevel="2">
      <c r="B243" s="76"/>
      <c r="C243" s="6"/>
    </row>
    <row r="244" spans="1:13" s="2" customFormat="1" hidden="1" outlineLevel="2">
      <c r="B244" s="76"/>
      <c r="C244" s="6"/>
    </row>
    <row r="245" spans="1:13" s="2" customFormat="1" hidden="1" outlineLevel="2">
      <c r="B245" s="76"/>
      <c r="C245" s="6"/>
    </row>
    <row r="246" spans="1:13" s="2" customFormat="1" hidden="1" outlineLevel="2">
      <c r="B246" s="76"/>
      <c r="C246" s="6"/>
    </row>
    <row r="247" spans="1:13" s="2" customFormat="1" hidden="1" outlineLevel="2">
      <c r="B247" s="76"/>
      <c r="C247" s="6"/>
    </row>
    <row r="248" spans="1:13" outlineLevel="1"/>
    <row r="249" spans="1:13" ht="12" outlineLevel="1" thickBot="1"/>
    <row r="250" spans="1:13" s="2" customFormat="1" ht="15.95" customHeight="1" thickTop="1" thickBot="1">
      <c r="A250" s="18" t="str">
        <f ca="1">OFFSET(Язык!$A$449,0,LANGUAGE)</f>
        <v>БАЛАНС</v>
      </c>
      <c r="B250" s="19"/>
      <c r="C250" s="19"/>
      <c r="D250" s="18"/>
      <c r="E250" s="18"/>
      <c r="F250" s="19" t="str">
        <f t="shared" ref="F250:K250" si="29">PeriodTitle</f>
        <v>"0"</v>
      </c>
      <c r="G250" s="19">
        <f t="shared" si="29"/>
        <v>2013</v>
      </c>
      <c r="H250" s="19">
        <f t="shared" si="29"/>
        <v>2014</v>
      </c>
      <c r="I250" s="19">
        <f t="shared" si="29"/>
        <v>2015</v>
      </c>
      <c r="J250" s="19">
        <f t="shared" si="29"/>
        <v>2016</v>
      </c>
      <c r="K250" s="19">
        <f t="shared" si="29"/>
        <v>2017</v>
      </c>
      <c r="L250" s="19"/>
      <c r="M250" s="23"/>
    </row>
    <row r="251" spans="1:13" ht="12" outlineLevel="1" thickTop="1"/>
    <row r="252" spans="1:13" outlineLevel="1" collapsed="1">
      <c r="A252" s="47" t="str">
        <f ca="1">OFFSET(Язык!$A$450,0,LANGUAGE)</f>
        <v>Деньги</v>
      </c>
      <c r="C252" s="132">
        <f t="shared" ref="C252:C269" si="30">CUR_Report</f>
        <v>0</v>
      </c>
      <c r="D252" s="1" t="s">
        <v>1736</v>
      </c>
      <c r="F252" s="134">
        <f ca="1">SUMPRODUCT($B7:OFFSET($B8,-1,0),F253:OFFSET(F254,-1,0))+$B$9*Компания!F264/IF(CUR_I_Report=2,Проект!F$98,1)</f>
        <v>0</v>
      </c>
      <c r="G252" s="134">
        <f ca="1">SUMPRODUCT($B7:OFFSET($B8,-1,0),G253:OFFSET(G254,-1,0))+$B$9*Компания!G264/IF(CUR_I_Report=2,Проект!G$98,1)</f>
        <v>563277.86607142841</v>
      </c>
      <c r="H252" s="134">
        <f ca="1">SUMPRODUCT($B7:OFFSET($B8,-1,0),H253:OFFSET(H254,-1,0))+$B$9*Компания!H264/IF(CUR_I_Report=2,Проект!H$98,1)</f>
        <v>1072809.6542410715</v>
      </c>
      <c r="I252" s="134">
        <f ca="1">SUMPRODUCT($B7:OFFSET($B8,-1,0),I253:OFFSET(I254,-1,0))+$B$9*Компания!I264/IF(CUR_I_Report=2,Проект!I$98,1)</f>
        <v>1115511.6691517867</v>
      </c>
      <c r="J252" s="134">
        <f ca="1">SUMPRODUCT($B7:OFFSET($B8,-1,0),J253:OFFSET(J254,-1,0))+$B$9*Компания!J264/IF(CUR_I_Report=2,Проект!J$98,1)</f>
        <v>1426921.6219910737</v>
      </c>
      <c r="K252" s="134">
        <f ca="1">SUMPRODUCT($B7:OFFSET($B8,-1,0),K253:OFFSET(K254,-1,0))+$B$9*Компания!K264/IF(CUR_I_Report=2,Проект!K$98,1)</f>
        <v>2950793.1510517895</v>
      </c>
    </row>
    <row r="253" spans="1:13" hidden="1" outlineLevel="2">
      <c r="A253" s="13" t="str">
        <f>A7</f>
        <v xml:space="preserve">    Ресторан восточной кухни</v>
      </c>
      <c r="B253" s="135"/>
      <c r="C253" s="132">
        <f t="shared" si="30"/>
        <v>0</v>
      </c>
      <c r="D253" s="135" t="s">
        <v>1317</v>
      </c>
      <c r="E253" s="135"/>
      <c r="F253" s="136">
        <f ca="1">Проект!F$942</f>
        <v>0</v>
      </c>
      <c r="G253" s="136">
        <f ca="1">Проект!G$942</f>
        <v>563277.86607142841</v>
      </c>
      <c r="H253" s="136">
        <f ca="1">Проект!H$942</f>
        <v>1072809.6542410715</v>
      </c>
      <c r="I253" s="136">
        <f ca="1">Проект!I$942</f>
        <v>1115511.6691517867</v>
      </c>
      <c r="J253" s="136">
        <f ca="1">Проект!J$942</f>
        <v>1426921.6219910737</v>
      </c>
      <c r="K253" s="136">
        <f ca="1">Проект!K$942</f>
        <v>2950793.1510517895</v>
      </c>
      <c r="L253" s="136"/>
      <c r="M253" s="134"/>
    </row>
    <row r="254" spans="1:13" outlineLevel="1" collapsed="1">
      <c r="A254" s="47" t="str">
        <f ca="1">OFFSET(Язык!$A$451,0,LANGUAGE)</f>
        <v>Дебиторская задолженность</v>
      </c>
      <c r="C254" s="132">
        <f t="shared" si="30"/>
        <v>0</v>
      </c>
      <c r="D254" s="1" t="s">
        <v>1736</v>
      </c>
      <c r="F254" s="134">
        <f ca="1">SUMPRODUCT($B7:OFFSET($B8,-1,0),F255:OFFSET(F256,-1,0))+$B$9*Компания!F265/IF(CUR_I_Report=2,Проект!F$98,1)</f>
        <v>0</v>
      </c>
      <c r="G254" s="134">
        <f ca="1">SUMPRODUCT($B7:OFFSET($B8,-1,0),G255:OFFSET(G256,-1,0))+$B$9*Компания!G265/IF(CUR_I_Report=2,Проект!G$98,1)</f>
        <v>0</v>
      </c>
      <c r="H254" s="134">
        <f ca="1">SUMPRODUCT($B7:OFFSET($B8,-1,0),H255:OFFSET(H256,-1,0))+$B$9*Компания!H265/IF(CUR_I_Report=2,Проект!H$98,1)</f>
        <v>0</v>
      </c>
      <c r="I254" s="134">
        <f ca="1">SUMPRODUCT($B7:OFFSET($B8,-1,0),I255:OFFSET(I256,-1,0))+$B$9*Компания!I265/IF(CUR_I_Report=2,Проект!I$98,1)</f>
        <v>0</v>
      </c>
      <c r="J254" s="134">
        <f ca="1">SUMPRODUCT($B7:OFFSET($B8,-1,0),J255:OFFSET(J256,-1,0))+$B$9*Компания!J265/IF(CUR_I_Report=2,Проект!J$98,1)</f>
        <v>0</v>
      </c>
      <c r="K254" s="134">
        <f ca="1">SUMPRODUCT($B7:OFFSET($B8,-1,0),K255:OFFSET(K256,-1,0))+$B$9*Компания!K265/IF(CUR_I_Report=2,Проект!K$98,1)</f>
        <v>0</v>
      </c>
    </row>
    <row r="255" spans="1:13" hidden="1" outlineLevel="2">
      <c r="A255" s="13" t="str">
        <f>A7</f>
        <v xml:space="preserve">    Ресторан восточной кухни</v>
      </c>
      <c r="B255" s="135"/>
      <c r="C255" s="132">
        <f t="shared" si="30"/>
        <v>0</v>
      </c>
      <c r="D255" s="135" t="s">
        <v>1317</v>
      </c>
      <c r="E255" s="135"/>
      <c r="F255" s="136">
        <f ca="1">Проект!F$943</f>
        <v>0</v>
      </c>
      <c r="G255" s="136">
        <f ca="1">Проект!G$943</f>
        <v>0</v>
      </c>
      <c r="H255" s="136">
        <f ca="1">Проект!H$943</f>
        <v>0</v>
      </c>
      <c r="I255" s="136">
        <f ca="1">Проект!I$943</f>
        <v>0</v>
      </c>
      <c r="J255" s="136">
        <f ca="1">Проект!J$943</f>
        <v>0</v>
      </c>
      <c r="K255" s="136">
        <f ca="1">Проект!K$943</f>
        <v>0</v>
      </c>
      <c r="L255" s="136"/>
      <c r="M255" s="134"/>
    </row>
    <row r="256" spans="1:13" outlineLevel="1" collapsed="1">
      <c r="A256" s="47" t="str">
        <f ca="1">OFFSET(Язык!$A$452,0,LANGUAGE)</f>
        <v>Авансы уплаченные</v>
      </c>
      <c r="C256" s="132">
        <f t="shared" si="30"/>
        <v>0</v>
      </c>
      <c r="D256" s="1" t="s">
        <v>1736</v>
      </c>
      <c r="F256" s="134">
        <f ca="1">SUMPRODUCT($B7:OFFSET($B8,-1,0),F257:OFFSET(F258,-1,0))+$B$9*Компания!F266/IF(CUR_I_Report=2,Проект!F$98,1)</f>
        <v>0</v>
      </c>
      <c r="G256" s="134">
        <f ca="1">SUMPRODUCT($B7:OFFSET($B8,-1,0),G257:OFFSET(G258,-1,0))+$B$9*Компания!G266/IF(CUR_I_Report=2,Проект!G$98,1)</f>
        <v>0</v>
      </c>
      <c r="H256" s="134">
        <f ca="1">SUMPRODUCT($B7:OFFSET($B8,-1,0),H257:OFFSET(H258,-1,0))+$B$9*Компания!H266/IF(CUR_I_Report=2,Проект!H$98,1)</f>
        <v>0</v>
      </c>
      <c r="I256" s="134">
        <f ca="1">SUMPRODUCT($B7:OFFSET($B8,-1,0),I257:OFFSET(I258,-1,0))+$B$9*Компания!I266/IF(CUR_I_Report=2,Проект!I$98,1)</f>
        <v>0</v>
      </c>
      <c r="J256" s="134">
        <f ca="1">SUMPRODUCT($B7:OFFSET($B8,-1,0),J257:OFFSET(J258,-1,0))+$B$9*Компания!J266/IF(CUR_I_Report=2,Проект!J$98,1)</f>
        <v>0</v>
      </c>
      <c r="K256" s="134">
        <f ca="1">SUMPRODUCT($B7:OFFSET($B8,-1,0),K257:OFFSET(K258,-1,0))+$B$9*Компания!K266/IF(CUR_I_Report=2,Проект!K$98,1)</f>
        <v>0</v>
      </c>
    </row>
    <row r="257" spans="1:13" hidden="1" outlineLevel="2">
      <c r="A257" s="13" t="str">
        <f>A7</f>
        <v xml:space="preserve">    Ресторан восточной кухни</v>
      </c>
      <c r="B257" s="135"/>
      <c r="C257" s="132">
        <f t="shared" si="30"/>
        <v>0</v>
      </c>
      <c r="D257" s="135" t="s">
        <v>1317</v>
      </c>
      <c r="E257" s="135"/>
      <c r="F257" s="136">
        <f ca="1">Проект!F$944</f>
        <v>0</v>
      </c>
      <c r="G257" s="136">
        <f ca="1">Проект!G$944</f>
        <v>0</v>
      </c>
      <c r="H257" s="136">
        <f ca="1">Проект!H$944</f>
        <v>0</v>
      </c>
      <c r="I257" s="136">
        <f ca="1">Проект!I$944</f>
        <v>0</v>
      </c>
      <c r="J257" s="136">
        <f ca="1">Проект!J$944</f>
        <v>0</v>
      </c>
      <c r="K257" s="136">
        <f ca="1">Проект!K$944</f>
        <v>0</v>
      </c>
      <c r="L257" s="136"/>
      <c r="M257" s="134"/>
    </row>
    <row r="258" spans="1:13" outlineLevel="1" collapsed="1">
      <c r="A258" s="47" t="str">
        <f ca="1">OFFSET(Язык!$A$453,0,LANGUAGE)</f>
        <v>Готовая продукция</v>
      </c>
      <c r="C258" s="132">
        <f t="shared" si="30"/>
        <v>0</v>
      </c>
      <c r="D258" s="1" t="s">
        <v>1736</v>
      </c>
      <c r="F258" s="134">
        <f ca="1">SUMPRODUCT($B7:OFFSET($B8,-1,0),F259:OFFSET(F260,-1,0))+$B$9*Компания!F267/IF(CUR_I_Report=2,Проект!F$98,1)</f>
        <v>0</v>
      </c>
      <c r="G258" s="134">
        <f ca="1">SUMPRODUCT($B7:OFFSET($B8,-1,0),G259:OFFSET(G260,-1,0))+$B$9*Компания!G267/IF(CUR_I_Report=2,Проект!G$98,1)</f>
        <v>0</v>
      </c>
      <c r="H258" s="134">
        <f ca="1">SUMPRODUCT($B7:OFFSET($B8,-1,0),H259:OFFSET(H260,-1,0))+$B$9*Компания!H267/IF(CUR_I_Report=2,Проект!H$98,1)</f>
        <v>0</v>
      </c>
      <c r="I258" s="134">
        <f ca="1">SUMPRODUCT($B7:OFFSET($B8,-1,0),I259:OFFSET(I260,-1,0))+$B$9*Компания!I267/IF(CUR_I_Report=2,Проект!I$98,1)</f>
        <v>0</v>
      </c>
      <c r="J258" s="134">
        <f ca="1">SUMPRODUCT($B7:OFFSET($B8,-1,0),J259:OFFSET(J260,-1,0))+$B$9*Компания!J267/IF(CUR_I_Report=2,Проект!J$98,1)</f>
        <v>0</v>
      </c>
      <c r="K258" s="134">
        <f ca="1">SUMPRODUCT($B7:OFFSET($B8,-1,0),K259:OFFSET(K260,-1,0))+$B$9*Компания!K267/IF(CUR_I_Report=2,Проект!K$98,1)</f>
        <v>0</v>
      </c>
    </row>
    <row r="259" spans="1:13" hidden="1" outlineLevel="2">
      <c r="A259" s="13" t="str">
        <f>A7</f>
        <v xml:space="preserve">    Ресторан восточной кухни</v>
      </c>
      <c r="B259" s="135"/>
      <c r="C259" s="132">
        <f t="shared" si="30"/>
        <v>0</v>
      </c>
      <c r="D259" s="135" t="s">
        <v>1317</v>
      </c>
      <c r="E259" s="135"/>
      <c r="F259" s="136">
        <f>Проект!F$945</f>
        <v>0</v>
      </c>
      <c r="G259" s="136">
        <f ca="1">Проект!G$945</f>
        <v>0</v>
      </c>
      <c r="H259" s="136">
        <f ca="1">Проект!H$945</f>
        <v>0</v>
      </c>
      <c r="I259" s="136">
        <f ca="1">Проект!I$945</f>
        <v>0</v>
      </c>
      <c r="J259" s="136">
        <f ca="1">Проект!J$945</f>
        <v>0</v>
      </c>
      <c r="K259" s="136">
        <f ca="1">Проект!K$945</f>
        <v>0</v>
      </c>
      <c r="L259" s="136"/>
      <c r="M259" s="134"/>
    </row>
    <row r="260" spans="1:13" outlineLevel="1" collapsed="1">
      <c r="A260" s="47" t="str">
        <f ca="1">OFFSET(Язык!$A$454,0,LANGUAGE)</f>
        <v>Незавершенное производство</v>
      </c>
      <c r="C260" s="132">
        <f t="shared" si="30"/>
        <v>0</v>
      </c>
      <c r="D260" s="1" t="s">
        <v>1736</v>
      </c>
      <c r="F260" s="134">
        <f ca="1">SUMPRODUCT($B7:OFFSET($B8,-1,0),F261:OFFSET(F262,-1,0))+$B$9*Компания!F268/IF(CUR_I_Report=2,Проект!F$98,1)</f>
        <v>0</v>
      </c>
      <c r="G260" s="134">
        <f ca="1">SUMPRODUCT($B7:OFFSET($B8,-1,0),G261:OFFSET(G262,-1,0))+$B$9*Компания!G268/IF(CUR_I_Report=2,Проект!G$98,1)</f>
        <v>0</v>
      </c>
      <c r="H260" s="134">
        <f ca="1">SUMPRODUCT($B7:OFFSET($B8,-1,0),H261:OFFSET(H262,-1,0))+$B$9*Компания!H268/IF(CUR_I_Report=2,Проект!H$98,1)</f>
        <v>0</v>
      </c>
      <c r="I260" s="134">
        <f ca="1">SUMPRODUCT($B7:OFFSET($B8,-1,0),I261:OFFSET(I262,-1,0))+$B$9*Компания!I268/IF(CUR_I_Report=2,Проект!I$98,1)</f>
        <v>0</v>
      </c>
      <c r="J260" s="134">
        <f ca="1">SUMPRODUCT($B7:OFFSET($B8,-1,0),J261:OFFSET(J262,-1,0))+$B$9*Компания!J268/IF(CUR_I_Report=2,Проект!J$98,1)</f>
        <v>0</v>
      </c>
      <c r="K260" s="134">
        <f ca="1">SUMPRODUCT($B7:OFFSET($B8,-1,0),K261:OFFSET(K262,-1,0))+$B$9*Компания!K268/IF(CUR_I_Report=2,Проект!K$98,1)</f>
        <v>0</v>
      </c>
    </row>
    <row r="261" spans="1:13" hidden="1" outlineLevel="2">
      <c r="A261" s="13" t="str">
        <f>A7</f>
        <v xml:space="preserve">    Ресторан восточной кухни</v>
      </c>
      <c r="B261" s="135"/>
      <c r="C261" s="132">
        <f t="shared" si="30"/>
        <v>0</v>
      </c>
      <c r="D261" s="135" t="s">
        <v>1317</v>
      </c>
      <c r="E261" s="135"/>
      <c r="F261" s="136">
        <f>Проект!F$946</f>
        <v>0</v>
      </c>
      <c r="G261" s="136">
        <f ca="1">Проект!G$946</f>
        <v>0</v>
      </c>
      <c r="H261" s="136">
        <f ca="1">Проект!H$946</f>
        <v>0</v>
      </c>
      <c r="I261" s="136">
        <f ca="1">Проект!I$946</f>
        <v>0</v>
      </c>
      <c r="J261" s="136">
        <f ca="1">Проект!J$946</f>
        <v>0</v>
      </c>
      <c r="K261" s="136">
        <f ca="1">Проект!K$946</f>
        <v>0</v>
      </c>
      <c r="L261" s="136"/>
      <c r="M261" s="134"/>
    </row>
    <row r="262" spans="1:13" outlineLevel="1" collapsed="1">
      <c r="A262" s="47" t="str">
        <f ca="1">OFFSET(Язык!$A$455,0,LANGUAGE)</f>
        <v>Материалы и комплектующие</v>
      </c>
      <c r="C262" s="132">
        <f t="shared" si="30"/>
        <v>0</v>
      </c>
      <c r="D262" s="1" t="s">
        <v>1736</v>
      </c>
      <c r="F262" s="134">
        <f ca="1">SUMPRODUCT($B7:OFFSET($B8,-1,0),F263:OFFSET(F264,-1,0))+$B$9*Компания!F269/IF(CUR_I_Report=2,Проект!F$98,1)</f>
        <v>0</v>
      </c>
      <c r="G262" s="134">
        <f ca="1">SUMPRODUCT($B7:OFFSET($B8,-1,0),G263:OFFSET(G264,-1,0))+$B$9*Компания!G269/IF(CUR_I_Report=2,Проект!G$98,1)</f>
        <v>0</v>
      </c>
      <c r="H262" s="134">
        <f ca="1">SUMPRODUCT($B7:OFFSET($B8,-1,0),H263:OFFSET(H264,-1,0))+$B$9*Компания!H269/IF(CUR_I_Report=2,Проект!H$98,1)</f>
        <v>0</v>
      </c>
      <c r="I262" s="134">
        <f ca="1">SUMPRODUCT($B7:OFFSET($B8,-1,0),I263:OFFSET(I264,-1,0))+$B$9*Компания!I269/IF(CUR_I_Report=2,Проект!I$98,1)</f>
        <v>0</v>
      </c>
      <c r="J262" s="134">
        <f ca="1">SUMPRODUCT($B7:OFFSET($B8,-1,0),J263:OFFSET(J264,-1,0))+$B$9*Компания!J269/IF(CUR_I_Report=2,Проект!J$98,1)</f>
        <v>0</v>
      </c>
      <c r="K262" s="134">
        <f ca="1">SUMPRODUCT($B7:OFFSET($B8,-1,0),K263:OFFSET(K264,-1,0))+$B$9*Компания!K269/IF(CUR_I_Report=2,Проект!K$98,1)</f>
        <v>0</v>
      </c>
    </row>
    <row r="263" spans="1:13" hidden="1" outlineLevel="2">
      <c r="A263" s="13" t="str">
        <f>A7</f>
        <v xml:space="preserve">    Ресторан восточной кухни</v>
      </c>
      <c r="B263" s="135"/>
      <c r="C263" s="132">
        <f t="shared" si="30"/>
        <v>0</v>
      </c>
      <c r="D263" s="135" t="s">
        <v>1317</v>
      </c>
      <c r="E263" s="135"/>
      <c r="F263" s="136">
        <f>Проект!F$947</f>
        <v>0</v>
      </c>
      <c r="G263" s="136">
        <f>Проект!G$947</f>
        <v>0</v>
      </c>
      <c r="H263" s="136">
        <f>Проект!H$947</f>
        <v>0</v>
      </c>
      <c r="I263" s="136">
        <f>Проект!I$947</f>
        <v>0</v>
      </c>
      <c r="J263" s="136">
        <f>Проект!J$947</f>
        <v>0</v>
      </c>
      <c r="K263" s="136">
        <f>Проект!K$947</f>
        <v>0</v>
      </c>
      <c r="L263" s="136"/>
      <c r="M263" s="134"/>
    </row>
    <row r="264" spans="1:13" outlineLevel="1" collapsed="1">
      <c r="A264" s="47" t="str">
        <f ca="1">OFFSET(Язык!$A$456,0,LANGUAGE)</f>
        <v>НДС на приобретенные товары</v>
      </c>
      <c r="C264" s="132">
        <f t="shared" si="30"/>
        <v>0</v>
      </c>
      <c r="D264" s="1" t="s">
        <v>1736</v>
      </c>
      <c r="F264" s="134">
        <f ca="1">SUMPRODUCT($B7:OFFSET($B8,-1,0),F265:OFFSET(F266,-1,0))+$B$9*Компания!F270/IF(CUR_I_Report=2,Проект!F$98,1)</f>
        <v>0</v>
      </c>
      <c r="G264" s="134">
        <f ca="1">SUMPRODUCT($B7:OFFSET($B8,-1,0),G265:OFFSET(G266,-1,0))+$B$9*Компания!G270/IF(CUR_I_Report=2,Проект!G$98,1)</f>
        <v>311357.14285714284</v>
      </c>
      <c r="H264" s="134">
        <f ca="1">SUMPRODUCT($B7:OFFSET($B8,-1,0),H265:OFFSET(H266,-1,0))+$B$9*Компания!H270/IF(CUR_I_Report=2,Проект!H$98,1)</f>
        <v>0</v>
      </c>
      <c r="I264" s="134">
        <f ca="1">SUMPRODUCT($B7:OFFSET($B8,-1,0),I265:OFFSET(I266,-1,0))+$B$9*Компания!I270/IF(CUR_I_Report=2,Проект!I$98,1)</f>
        <v>0</v>
      </c>
      <c r="J264" s="134">
        <f ca="1">SUMPRODUCT($B7:OFFSET($B8,-1,0),J265:OFFSET(J266,-1,0))+$B$9*Компания!J270/IF(CUR_I_Report=2,Проект!J$98,1)</f>
        <v>0</v>
      </c>
      <c r="K264" s="134">
        <f ca="1">SUMPRODUCT($B7:OFFSET($B8,-1,0),K265:OFFSET(K266,-1,0))+$B$9*Компания!K270/IF(CUR_I_Report=2,Проект!K$98,1)</f>
        <v>0</v>
      </c>
    </row>
    <row r="265" spans="1:13" hidden="1" outlineLevel="2">
      <c r="A265" s="13" t="str">
        <f>A7</f>
        <v xml:space="preserve">    Ресторан восточной кухни</v>
      </c>
      <c r="B265" s="135"/>
      <c r="C265" s="132">
        <f t="shared" si="30"/>
        <v>0</v>
      </c>
      <c r="D265" s="135" t="s">
        <v>1317</v>
      </c>
      <c r="E265" s="135"/>
      <c r="F265" s="136">
        <f ca="1">Проект!F$948</f>
        <v>0</v>
      </c>
      <c r="G265" s="136">
        <f ca="1">Проект!G$948</f>
        <v>311357.14285714284</v>
      </c>
      <c r="H265" s="136">
        <f ca="1">Проект!H$948</f>
        <v>0</v>
      </c>
      <c r="I265" s="136">
        <f ca="1">Проект!I$948</f>
        <v>0</v>
      </c>
      <c r="J265" s="136">
        <f ca="1">Проект!J$948</f>
        <v>0</v>
      </c>
      <c r="K265" s="136">
        <f ca="1">Проект!K$948</f>
        <v>0</v>
      </c>
      <c r="L265" s="136"/>
      <c r="M265" s="134"/>
    </row>
    <row r="266" spans="1:13" outlineLevel="1" collapsed="1">
      <c r="A266" s="47" t="str">
        <f ca="1">OFFSET(Язык!$A$457,0,LANGUAGE)</f>
        <v>Расходы будущих периодов</v>
      </c>
      <c r="C266" s="132">
        <f t="shared" si="30"/>
        <v>0</v>
      </c>
      <c r="D266" s="1" t="s">
        <v>1736</v>
      </c>
      <c r="F266" s="134">
        <f ca="1">SUMPRODUCT($B7:OFFSET($B8,-1,0),F267:OFFSET(F268,-1,0))+$B$9*Компания!F271/IF(CUR_I_Report=2,Проект!F$98,1)</f>
        <v>0</v>
      </c>
      <c r="G266" s="134">
        <f ca="1">SUMPRODUCT($B7:OFFSET($B8,-1,0),G267:OFFSET(G268,-1,0))+$B$9*Компания!G271/IF(CUR_I_Report=2,Проект!G$98,1)</f>
        <v>0</v>
      </c>
      <c r="H266" s="134">
        <f ca="1">SUMPRODUCT($B7:OFFSET($B8,-1,0),H267:OFFSET(H268,-1,0))+$B$9*Компания!H271/IF(CUR_I_Report=2,Проект!H$98,1)</f>
        <v>0</v>
      </c>
      <c r="I266" s="134">
        <f ca="1">SUMPRODUCT($B7:OFFSET($B8,-1,0),I267:OFFSET(I268,-1,0))+$B$9*Компания!I271/IF(CUR_I_Report=2,Проект!I$98,1)</f>
        <v>0</v>
      </c>
      <c r="J266" s="134">
        <f ca="1">SUMPRODUCT($B7:OFFSET($B8,-1,0),J267:OFFSET(J268,-1,0))+$B$9*Компания!J271/IF(CUR_I_Report=2,Проект!J$98,1)</f>
        <v>0</v>
      </c>
      <c r="K266" s="134">
        <f ca="1">SUMPRODUCT($B7:OFFSET($B8,-1,0),K267:OFFSET(K268,-1,0))+$B$9*Компания!K271/IF(CUR_I_Report=2,Проект!K$98,1)</f>
        <v>0</v>
      </c>
    </row>
    <row r="267" spans="1:13" hidden="1" outlineLevel="2">
      <c r="A267" s="13" t="str">
        <f>A7</f>
        <v xml:space="preserve">    Ресторан восточной кухни</v>
      </c>
      <c r="B267" s="135"/>
      <c r="C267" s="132">
        <f t="shared" si="30"/>
        <v>0</v>
      </c>
      <c r="D267" s="135" t="s">
        <v>1317</v>
      </c>
      <c r="E267" s="135"/>
      <c r="F267" s="136">
        <f>Проект!F$949</f>
        <v>0</v>
      </c>
      <c r="G267" s="136">
        <f ca="1">Проект!G$949</f>
        <v>0</v>
      </c>
      <c r="H267" s="136">
        <f ca="1">Проект!H$949</f>
        <v>0</v>
      </c>
      <c r="I267" s="136">
        <f ca="1">Проект!I$949</f>
        <v>0</v>
      </c>
      <c r="J267" s="136">
        <f ca="1">Проект!J$949</f>
        <v>0</v>
      </c>
      <c r="K267" s="136">
        <f ca="1">Проект!K$949</f>
        <v>0</v>
      </c>
      <c r="L267" s="136"/>
      <c r="M267" s="134"/>
    </row>
    <row r="268" spans="1:13" outlineLevel="1" collapsed="1">
      <c r="A268" s="47" t="str">
        <f ca="1">OFFSET(Язык!$A$458,0,LANGUAGE)</f>
        <v>Прочие оборотные активы</v>
      </c>
      <c r="C268" s="132">
        <f t="shared" si="30"/>
        <v>0</v>
      </c>
      <c r="D268" s="1" t="s">
        <v>1736</v>
      </c>
      <c r="F268" s="134">
        <f ca="1">SUMPRODUCT($B7:OFFSET($B8,-1,0),F269:OFFSET(F270,-1,0))+$B$9*Компания!F272/IF(CUR_I_Report=2,Проект!F$98,1)</f>
        <v>0</v>
      </c>
      <c r="G268" s="134">
        <f ca="1">SUMPRODUCT($B7:OFFSET($B8,-1,0),G269:OFFSET(G270,-1,0))+$B$9*Компания!G272/IF(CUR_I_Report=2,Проект!G$98,1)</f>
        <v>0</v>
      </c>
      <c r="H268" s="134">
        <f ca="1">SUMPRODUCT($B7:OFFSET($B8,-1,0),H269:OFFSET(H270,-1,0))+$B$9*Компания!H272/IF(CUR_I_Report=2,Проект!H$98,1)</f>
        <v>0</v>
      </c>
      <c r="I268" s="134">
        <f ca="1">SUMPRODUCT($B7:OFFSET($B8,-1,0),I269:OFFSET(I270,-1,0))+$B$9*Компания!I272/IF(CUR_I_Report=2,Проект!I$98,1)</f>
        <v>0</v>
      </c>
      <c r="J268" s="134">
        <f ca="1">SUMPRODUCT($B7:OFFSET($B8,-1,0),J269:OFFSET(J270,-1,0))+$B$9*Компания!J272/IF(CUR_I_Report=2,Проект!J$98,1)</f>
        <v>0</v>
      </c>
      <c r="K268" s="134">
        <f ca="1">SUMPRODUCT($B7:OFFSET($B8,-1,0),K269:OFFSET(K270,-1,0))+$B$9*Компания!K272/IF(CUR_I_Report=2,Проект!K$98,1)</f>
        <v>0</v>
      </c>
    </row>
    <row r="269" spans="1:13" hidden="1" outlineLevel="2">
      <c r="A269" s="13" t="str">
        <f>A7</f>
        <v xml:space="preserve">    Ресторан восточной кухни</v>
      </c>
      <c r="B269" s="135"/>
      <c r="C269" s="132">
        <f t="shared" si="30"/>
        <v>0</v>
      </c>
      <c r="D269" s="135" t="s">
        <v>1317</v>
      </c>
      <c r="E269" s="135"/>
      <c r="F269" s="136">
        <f>Проект!F$950</f>
        <v>0</v>
      </c>
      <c r="G269" s="136">
        <f>Проект!G$950</f>
        <v>0</v>
      </c>
      <c r="H269" s="136">
        <f>Проект!H$950</f>
        <v>0</v>
      </c>
      <c r="I269" s="136">
        <f>Проект!I$950</f>
        <v>0</v>
      </c>
      <c r="J269" s="136">
        <f>Проект!J$950</f>
        <v>0</v>
      </c>
      <c r="K269" s="136">
        <f>Проект!K$950</f>
        <v>0</v>
      </c>
      <c r="L269" s="136"/>
      <c r="M269" s="134"/>
    </row>
    <row r="270" spans="1:13" outlineLevel="1">
      <c r="A270" s="13"/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4"/>
    </row>
    <row r="271" spans="1:13" outlineLevel="1">
      <c r="A271" s="32" t="str">
        <f ca="1">OFFSET(Язык!$A$459,0,LANGUAGE)</f>
        <v>Суммарные оборотные активы</v>
      </c>
      <c r="C271" s="132">
        <f>CUR_Report</f>
        <v>0</v>
      </c>
      <c r="D271" s="1" t="s">
        <v>1736</v>
      </c>
      <c r="F271" s="225">
        <f t="shared" ref="F271:J271" ca="1" si="31">F252+F254+F256+F258+F260+F262+F264+F266+F268</f>
        <v>0</v>
      </c>
      <c r="G271" s="225">
        <f t="shared" ca="1" si="31"/>
        <v>874635.00892857125</v>
      </c>
      <c r="H271" s="225">
        <f t="shared" ca="1" si="31"/>
        <v>1072809.6542410715</v>
      </c>
      <c r="I271" s="225">
        <f t="shared" ca="1" si="31"/>
        <v>1115511.6691517867</v>
      </c>
      <c r="J271" s="225">
        <f t="shared" ca="1" si="31"/>
        <v>1426921.6219910737</v>
      </c>
      <c r="K271" s="225">
        <f t="shared" ref="K271" ca="1" si="32">K252+K254+K256+K258+K260+K262+K264+K266+K268</f>
        <v>2950793.1510517895</v>
      </c>
    </row>
    <row r="272" spans="1:13" outlineLevel="1">
      <c r="A272" s="2"/>
      <c r="F272" s="134"/>
      <c r="G272" s="134"/>
      <c r="H272" s="134"/>
      <c r="I272" s="134"/>
      <c r="J272" s="134"/>
      <c r="K272" s="134"/>
    </row>
    <row r="273" spans="1:13" outlineLevel="1" collapsed="1">
      <c r="A273" s="47" t="str">
        <f ca="1">OFFSET(Язык!$A$460,0,LANGUAGE)</f>
        <v>Постоянные активы</v>
      </c>
      <c r="C273" s="132">
        <f t="shared" ref="C273:C280" si="33">CUR_Report</f>
        <v>0</v>
      </c>
      <c r="D273" s="1" t="s">
        <v>1736</v>
      </c>
      <c r="F273" s="134">
        <f ca="1">SUMPRODUCT($B7:OFFSET($B8,-1,0),F274:OFFSET(F275,-1,0))+$B$9*Компания!F275/IF(CUR_I_Report=2,Проект!F$98,1)</f>
        <v>0</v>
      </c>
      <c r="G273" s="134">
        <f ca="1">SUMPRODUCT($B7:OFFSET($B8,-1,0),G274:OFFSET(G275,-1,0))+$B$9*Компания!G275/IF(CUR_I_Report=2,Проект!G$98,1)</f>
        <v>0</v>
      </c>
      <c r="H273" s="134">
        <f ca="1">SUMPRODUCT($B7:OFFSET($B8,-1,0),H274:OFFSET(H275,-1,0))+$B$9*Компания!H275/IF(CUR_I_Report=2,Проект!H$98,1)</f>
        <v>2291325.8928571427</v>
      </c>
      <c r="I273" s="134">
        <f ca="1">SUMPRODUCT($B7:OFFSET($B8,-1,0),I274:OFFSET(I275,-1,0))+$B$9*Компания!I275/IF(CUR_I_Report=2,Проект!I$98,1)</f>
        <v>1988008.9285714282</v>
      </c>
      <c r="J273" s="134">
        <f ca="1">SUMPRODUCT($B7:OFFSET($B8,-1,0),J274:OFFSET(J275,-1,0))+$B$9*Компания!J275/IF(CUR_I_Report=2,Проект!J$98,1)</f>
        <v>1684691.9642857141</v>
      </c>
      <c r="K273" s="134">
        <f ca="1">SUMPRODUCT($B7:OFFSET($B8,-1,0),K274:OFFSET(K275,-1,0))+$B$9*Компания!K275/IF(CUR_I_Report=2,Проект!K$98,1)</f>
        <v>1381374.9999999998</v>
      </c>
    </row>
    <row r="274" spans="1:13" hidden="1" outlineLevel="2">
      <c r="A274" s="13" t="str">
        <f>A7</f>
        <v xml:space="preserve">    Ресторан восточной кухни</v>
      </c>
      <c r="B274" s="135"/>
      <c r="C274" s="132">
        <f t="shared" si="33"/>
        <v>0</v>
      </c>
      <c r="D274" s="135" t="s">
        <v>1317</v>
      </c>
      <c r="E274" s="135"/>
      <c r="F274" s="136">
        <f>Проект!F$953</f>
        <v>0</v>
      </c>
      <c r="G274" s="136">
        <f ca="1">Проект!G$953</f>
        <v>0</v>
      </c>
      <c r="H274" s="136">
        <f ca="1">Проект!H$953</f>
        <v>2291325.8928571427</v>
      </c>
      <c r="I274" s="136">
        <f ca="1">Проект!I$953</f>
        <v>1988008.9285714282</v>
      </c>
      <c r="J274" s="136">
        <f ca="1">Проект!J$953</f>
        <v>1684691.9642857141</v>
      </c>
      <c r="K274" s="136">
        <f ca="1">Проект!K$953</f>
        <v>1381374.9999999998</v>
      </c>
      <c r="L274" s="136"/>
      <c r="M274" s="134"/>
    </row>
    <row r="275" spans="1:13" outlineLevel="1" collapsed="1">
      <c r="A275" s="47" t="str">
        <f ca="1">OFFSET(Язык!$A$461,0,LANGUAGE)</f>
        <v xml:space="preserve">    здания и сооружения</v>
      </c>
      <c r="C275" s="132">
        <f t="shared" si="33"/>
        <v>0</v>
      </c>
      <c r="D275" s="1" t="s">
        <v>1736</v>
      </c>
      <c r="F275" s="134">
        <f ca="1">SUMPRODUCT($B7:OFFSET($B8,-1,0),F276:OFFSET(F277,-1,0))+$B$9*Компания!F276/IF(CUR_I_Report=2,Проект!F$98,1)</f>
        <v>0</v>
      </c>
      <c r="G275" s="134">
        <f ca="1">SUMPRODUCT($B7:OFFSET($B8,-1,0),G276:OFFSET(G277,-1,0))+$B$9*Компания!G276/IF(CUR_I_Report=2,Проект!G$98,1)</f>
        <v>0</v>
      </c>
      <c r="H275" s="134">
        <f ca="1">SUMPRODUCT($B7:OFFSET($B8,-1,0),H276:OFFSET(H277,-1,0))+$B$9*Компания!H276/IF(CUR_I_Report=2,Проект!H$98,1)</f>
        <v>1365540.1785714284</v>
      </c>
      <c r="I275" s="134">
        <f ca="1">SUMPRODUCT($B7:OFFSET($B8,-1,0),I276:OFFSET(I277,-1,0))+$B$9*Компания!I276/IF(CUR_I_Report=2,Проект!I$98,1)</f>
        <v>1293669.6428571427</v>
      </c>
      <c r="J275" s="134">
        <f ca="1">SUMPRODUCT($B7:OFFSET($B8,-1,0),J276:OFFSET(J277,-1,0))+$B$9*Компания!J276/IF(CUR_I_Report=2,Проект!J$98,1)</f>
        <v>1221799.107142857</v>
      </c>
      <c r="K275" s="134">
        <f ca="1">SUMPRODUCT($B7:OFFSET($B8,-1,0),K276:OFFSET(K277,-1,0))+$B$9*Компания!K276/IF(CUR_I_Report=2,Проект!K$98,1)</f>
        <v>1149928.5714285714</v>
      </c>
    </row>
    <row r="276" spans="1:13" hidden="1" outlineLevel="2">
      <c r="A276" s="13" t="str">
        <f>A7</f>
        <v xml:space="preserve">    Ресторан восточной кухни</v>
      </c>
      <c r="B276" s="135"/>
      <c r="C276" s="132">
        <f t="shared" si="33"/>
        <v>0</v>
      </c>
      <c r="D276" s="135" t="s">
        <v>1317</v>
      </c>
      <c r="E276" s="135"/>
      <c r="F276" s="136">
        <f>Проект!F$954</f>
        <v>0</v>
      </c>
      <c r="G276" s="136">
        <f ca="1">Проект!G$954</f>
        <v>0</v>
      </c>
      <c r="H276" s="136">
        <f ca="1">Проект!H$954</f>
        <v>1365540.1785714284</v>
      </c>
      <c r="I276" s="136">
        <f ca="1">Проект!I$954</f>
        <v>1293669.6428571427</v>
      </c>
      <c r="J276" s="136">
        <f ca="1">Проект!J$954</f>
        <v>1221799.107142857</v>
      </c>
      <c r="K276" s="136">
        <f ca="1">Проект!K$954</f>
        <v>1149928.5714285714</v>
      </c>
      <c r="L276" s="136"/>
      <c r="M276" s="134"/>
    </row>
    <row r="277" spans="1:13" outlineLevel="1" collapsed="1">
      <c r="A277" s="47" t="str">
        <f ca="1">OFFSET(Язык!$A$462,0,LANGUAGE)</f>
        <v xml:space="preserve">    оборудование и прочие активы</v>
      </c>
      <c r="C277" s="132">
        <f t="shared" si="33"/>
        <v>0</v>
      </c>
      <c r="D277" s="1" t="s">
        <v>1736</v>
      </c>
      <c r="F277" s="134">
        <f ca="1">SUMPRODUCT($B7:OFFSET($B8,-1,0),F278:OFFSET(F279,-1,0))+$B$9*Компания!F277/IF(CUR_I_Report=2,Проект!F$98,1)</f>
        <v>0</v>
      </c>
      <c r="G277" s="134">
        <f ca="1">SUMPRODUCT($B7:OFFSET($B8,-1,0),G278:OFFSET(G279,-1,0))+$B$9*Компания!G277/IF(CUR_I_Report=2,Проект!G$98,1)</f>
        <v>0</v>
      </c>
      <c r="H277" s="134">
        <f ca="1">SUMPRODUCT($B7:OFFSET($B8,-1,0),H278:OFFSET(H279,-1,0))+$B$9*Компания!H277/IF(CUR_I_Report=2,Проект!H$98,1)</f>
        <v>925785.71428571409</v>
      </c>
      <c r="I277" s="134">
        <f ca="1">SUMPRODUCT($B7:OFFSET($B8,-1,0),I278:OFFSET(I279,-1,0))+$B$9*Компания!I277/IF(CUR_I_Report=2,Проект!I$98,1)</f>
        <v>694339.28571428556</v>
      </c>
      <c r="J277" s="134">
        <f ca="1">SUMPRODUCT($B7:OFFSET($B8,-1,0),J278:OFFSET(J279,-1,0))+$B$9*Компания!J277/IF(CUR_I_Report=2,Проект!J$98,1)</f>
        <v>462892.85714285704</v>
      </c>
      <c r="K277" s="134">
        <f ca="1">SUMPRODUCT($B7:OFFSET($B8,-1,0),K278:OFFSET(K279,-1,0))+$B$9*Компания!K277/IF(CUR_I_Report=2,Проект!K$98,1)</f>
        <v>231446.42857142841</v>
      </c>
    </row>
    <row r="278" spans="1:13" hidden="1" outlineLevel="2">
      <c r="A278" s="13" t="str">
        <f>A7</f>
        <v xml:space="preserve">    Ресторан восточной кухни</v>
      </c>
      <c r="B278" s="135"/>
      <c r="C278" s="132">
        <f t="shared" si="33"/>
        <v>0</v>
      </c>
      <c r="D278" s="135" t="s">
        <v>1317</v>
      </c>
      <c r="E278" s="135"/>
      <c r="F278" s="136">
        <f>Проект!F$955</f>
        <v>0</v>
      </c>
      <c r="G278" s="136">
        <f ca="1">Проект!G$955</f>
        <v>0</v>
      </c>
      <c r="H278" s="136">
        <f ca="1">Проект!H$955</f>
        <v>925785.71428571409</v>
      </c>
      <c r="I278" s="136">
        <f ca="1">Проект!I$955</f>
        <v>694339.28571428556</v>
      </c>
      <c r="J278" s="136">
        <f ca="1">Проект!J$955</f>
        <v>462892.85714285704</v>
      </c>
      <c r="K278" s="136">
        <f ca="1">Проект!K$955</f>
        <v>231446.42857142841</v>
      </c>
      <c r="L278" s="136"/>
      <c r="M278" s="134"/>
    </row>
    <row r="279" spans="1:13" outlineLevel="1" collapsed="1">
      <c r="A279" s="47" t="str">
        <f ca="1">OFFSET(Язык!$A$463,0,LANGUAGE)</f>
        <v>Незавершенные капиталовложения</v>
      </c>
      <c r="C279" s="132">
        <f t="shared" si="33"/>
        <v>0</v>
      </c>
      <c r="D279" s="1" t="s">
        <v>1736</v>
      </c>
      <c r="F279" s="134">
        <f ca="1">SUMPRODUCT($B7:OFFSET($B8,-1,0),F280:OFFSET(F281,-1,0))+$B$9*Компания!F278/IF(CUR_I_Report=2,Проект!F$98,1)</f>
        <v>0</v>
      </c>
      <c r="G279" s="134">
        <f ca="1">SUMPRODUCT($B7:OFFSET($B8,-1,0),G280:OFFSET(G281,-1,0))+$B$9*Компания!G278/IF(CUR_I_Report=2,Проект!G$98,1)</f>
        <v>2594642.8571428568</v>
      </c>
      <c r="H279" s="134">
        <f ca="1">SUMPRODUCT($B7:OFFSET($B8,-1,0),H280:OFFSET(H281,-1,0))+$B$9*Компания!H278/IF(CUR_I_Report=2,Проект!H$98,1)</f>
        <v>0</v>
      </c>
      <c r="I279" s="134">
        <f ca="1">SUMPRODUCT($B7:OFFSET($B8,-1,0),I280:OFFSET(I281,-1,0))+$B$9*Компания!I278/IF(CUR_I_Report=2,Проект!I$98,1)</f>
        <v>0</v>
      </c>
      <c r="J279" s="134">
        <f ca="1">SUMPRODUCT($B7:OFFSET($B8,-1,0),J280:OFFSET(J281,-1,0))+$B$9*Компания!J278/IF(CUR_I_Report=2,Проект!J$98,1)</f>
        <v>0</v>
      </c>
      <c r="K279" s="134">
        <f ca="1">SUMPRODUCT($B7:OFFSET($B8,-1,0),K280:OFFSET(K281,-1,0))+$B$9*Компания!K278/IF(CUR_I_Report=2,Проект!K$98,1)</f>
        <v>0</v>
      </c>
    </row>
    <row r="280" spans="1:13" hidden="1" outlineLevel="2">
      <c r="A280" s="13" t="str">
        <f>A7</f>
        <v xml:space="preserve">    Ресторан восточной кухни</v>
      </c>
      <c r="B280" s="135"/>
      <c r="C280" s="132">
        <f t="shared" si="33"/>
        <v>0</v>
      </c>
      <c r="D280" s="135" t="s">
        <v>1317</v>
      </c>
      <c r="E280" s="135"/>
      <c r="F280" s="136">
        <f ca="1">Проект!F$956</f>
        <v>0</v>
      </c>
      <c r="G280" s="136">
        <f ca="1">Проект!G$956</f>
        <v>2594642.8571428568</v>
      </c>
      <c r="H280" s="136">
        <f ca="1">Проект!H$956</f>
        <v>0</v>
      </c>
      <c r="I280" s="136">
        <f ca="1">Проект!I$956</f>
        <v>0</v>
      </c>
      <c r="J280" s="136">
        <f ca="1">Проект!J$956</f>
        <v>0</v>
      </c>
      <c r="K280" s="136">
        <f ca="1">Проект!K$956</f>
        <v>0</v>
      </c>
      <c r="L280" s="136"/>
      <c r="M280" s="134"/>
    </row>
    <row r="281" spans="1:13" outlineLevel="1">
      <c r="A281" s="13"/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4"/>
    </row>
    <row r="282" spans="1:13" outlineLevel="1">
      <c r="A282" s="32" t="str">
        <f ca="1">OFFSET(Язык!$A$464,0,LANGUAGE)</f>
        <v>Суммарные внеоборотные активы</v>
      </c>
      <c r="C282" s="132">
        <f>CUR_Report</f>
        <v>0</v>
      </c>
      <c r="D282" s="1" t="s">
        <v>1736</v>
      </c>
      <c r="F282" s="225">
        <f t="shared" ref="F282:J282" ca="1" si="34">F273+F279</f>
        <v>0</v>
      </c>
      <c r="G282" s="225">
        <f t="shared" ca="1" si="34"/>
        <v>2594642.8571428568</v>
      </c>
      <c r="H282" s="225">
        <f t="shared" ca="1" si="34"/>
        <v>2291325.8928571427</v>
      </c>
      <c r="I282" s="225">
        <f t="shared" ca="1" si="34"/>
        <v>1988008.9285714282</v>
      </c>
      <c r="J282" s="225">
        <f t="shared" ca="1" si="34"/>
        <v>1684691.9642857141</v>
      </c>
      <c r="K282" s="225">
        <f t="shared" ref="K282" ca="1" si="35">K273+K279</f>
        <v>1381374.9999999998</v>
      </c>
    </row>
    <row r="283" spans="1:13" outlineLevel="1">
      <c r="A283" s="2"/>
      <c r="F283" s="134"/>
      <c r="G283" s="134"/>
      <c r="H283" s="134"/>
      <c r="I283" s="134"/>
      <c r="J283" s="134"/>
      <c r="K283" s="134"/>
    </row>
    <row r="284" spans="1:13" outlineLevel="1">
      <c r="A284" s="32" t="str">
        <f ca="1">OFFSET(Язык!$A$465,0,LANGUAGE)</f>
        <v xml:space="preserve"> = ИТОГО АКТИВОВ</v>
      </c>
      <c r="B284" s="29" t="str">
        <f ca="1">IF(COUNTIF(F318:K318,1)&gt;0,"Не сходится!","")</f>
        <v/>
      </c>
      <c r="C284" s="132">
        <f>CUR_Report</f>
        <v>0</v>
      </c>
      <c r="D284" s="1" t="s">
        <v>1736</v>
      </c>
      <c r="F284" s="225">
        <f t="shared" ref="F284:J284" ca="1" si="36">F271+F282</f>
        <v>0</v>
      </c>
      <c r="G284" s="225">
        <f t="shared" ca="1" si="36"/>
        <v>3469277.8660714282</v>
      </c>
      <c r="H284" s="225">
        <f t="shared" ca="1" si="36"/>
        <v>3364135.5470982143</v>
      </c>
      <c r="I284" s="225">
        <f t="shared" ca="1" si="36"/>
        <v>3103520.5977232149</v>
      </c>
      <c r="J284" s="225">
        <f t="shared" ca="1" si="36"/>
        <v>3111613.5862767878</v>
      </c>
      <c r="K284" s="225">
        <f t="shared" ref="K284" ca="1" si="37">K271+K282</f>
        <v>4332168.1510517895</v>
      </c>
    </row>
    <row r="285" spans="1:13" outlineLevel="1">
      <c r="A285" s="2"/>
      <c r="F285" s="134"/>
      <c r="G285" s="134"/>
      <c r="H285" s="134"/>
      <c r="I285" s="134"/>
      <c r="J285" s="134"/>
      <c r="K285" s="134"/>
    </row>
    <row r="286" spans="1:13" outlineLevel="1" collapsed="1">
      <c r="A286" s="47" t="str">
        <f ca="1">OFFSET(Язык!$A$466,0,LANGUAGE)</f>
        <v>Кредиторская задолженность</v>
      </c>
      <c r="C286" s="132">
        <f t="shared" ref="C286:C301" si="38">CUR_Report</f>
        <v>0</v>
      </c>
      <c r="D286" s="1" t="s">
        <v>1736</v>
      </c>
      <c r="F286" s="134">
        <f ca="1">SUMPRODUCT($B7:OFFSET($B8,-1,0),F287:OFFSET(F288,-1,0))+$B$9*Компания!F283/IF(CUR_I_Report=2,Проект!F$98,1)</f>
        <v>0</v>
      </c>
      <c r="G286" s="134">
        <f ca="1">SUMPRODUCT($B7:OFFSET($B8,-1,0),G287:OFFSET(G288,-1,0))+$B$9*Компания!G283/IF(CUR_I_Report=2,Проект!G$98,1)</f>
        <v>0</v>
      </c>
      <c r="H286" s="134">
        <f ca="1">SUMPRODUCT($B7:OFFSET($B8,-1,0),H287:OFFSET(H288,-1,0))+$B$9*Компания!H283/IF(CUR_I_Report=2,Проект!H$98,1)</f>
        <v>0</v>
      </c>
      <c r="I286" s="134">
        <f ca="1">SUMPRODUCT($B7:OFFSET($B8,-1,0),I287:OFFSET(I288,-1,0))+$B$9*Компания!I283/IF(CUR_I_Report=2,Проект!I$98,1)</f>
        <v>0</v>
      </c>
      <c r="J286" s="134">
        <f ca="1">SUMPRODUCT($B7:OFFSET($B8,-1,0),J287:OFFSET(J288,-1,0))+$B$9*Компания!J283/IF(CUR_I_Report=2,Проект!J$98,1)</f>
        <v>0</v>
      </c>
      <c r="K286" s="134">
        <f ca="1">SUMPRODUCT($B7:OFFSET($B8,-1,0),K287:OFFSET(K288,-1,0))+$B$9*Компания!K283/IF(CUR_I_Report=2,Проект!K$98,1)</f>
        <v>0</v>
      </c>
    </row>
    <row r="287" spans="1:13" hidden="1" outlineLevel="2">
      <c r="A287" s="13" t="str">
        <f>A7</f>
        <v xml:space="preserve">    Ресторан восточной кухни</v>
      </c>
      <c r="B287" s="135"/>
      <c r="C287" s="132">
        <f t="shared" si="38"/>
        <v>0</v>
      </c>
      <c r="D287" s="135" t="s">
        <v>1317</v>
      </c>
      <c r="E287" s="135"/>
      <c r="F287" s="136">
        <f ca="1">Проект!F$961</f>
        <v>0</v>
      </c>
      <c r="G287" s="136">
        <f ca="1">Проект!G$961</f>
        <v>0</v>
      </c>
      <c r="H287" s="136">
        <f ca="1">Проект!H$961</f>
        <v>0</v>
      </c>
      <c r="I287" s="136">
        <f ca="1">Проект!I$961</f>
        <v>0</v>
      </c>
      <c r="J287" s="136">
        <f ca="1">Проект!J$961</f>
        <v>0</v>
      </c>
      <c r="K287" s="136">
        <f ca="1">Проект!K$961</f>
        <v>0</v>
      </c>
      <c r="L287" s="136"/>
      <c r="M287" s="134"/>
    </row>
    <row r="288" spans="1:13" outlineLevel="1" collapsed="1">
      <c r="A288" s="47" t="str">
        <f ca="1">OFFSET(Язык!$A$467,0,LANGUAGE)</f>
        <v xml:space="preserve">    за поставленные товары</v>
      </c>
      <c r="C288" s="132">
        <f t="shared" si="38"/>
        <v>0</v>
      </c>
      <c r="D288" s="1" t="s">
        <v>1736</v>
      </c>
      <c r="F288" s="134">
        <f ca="1">SUMPRODUCT($B7:OFFSET($B8,-1,0),F289:OFFSET(F290,-1,0))+$B$9*Компания!F284/IF(CUR_I_Report=2,Проект!F$98,1)</f>
        <v>0</v>
      </c>
      <c r="G288" s="134">
        <f ca="1">SUMPRODUCT($B7:OFFSET($B8,-1,0),G289:OFFSET(G290,-1,0))+$B$9*Компания!G284/IF(CUR_I_Report=2,Проект!G$98,1)</f>
        <v>0</v>
      </c>
      <c r="H288" s="134">
        <f ca="1">SUMPRODUCT($B7:OFFSET($B8,-1,0),H289:OFFSET(H290,-1,0))+$B$9*Компания!H284/IF(CUR_I_Report=2,Проект!H$98,1)</f>
        <v>0</v>
      </c>
      <c r="I288" s="134">
        <f ca="1">SUMPRODUCT($B7:OFFSET($B8,-1,0),I289:OFFSET(I290,-1,0))+$B$9*Компания!I284/IF(CUR_I_Report=2,Проект!I$98,1)</f>
        <v>0</v>
      </c>
      <c r="J288" s="134">
        <f ca="1">SUMPRODUCT($B7:OFFSET($B8,-1,0),J289:OFFSET(J290,-1,0))+$B$9*Компания!J284/IF(CUR_I_Report=2,Проект!J$98,1)</f>
        <v>0</v>
      </c>
      <c r="K288" s="134">
        <f ca="1">SUMPRODUCT($B7:OFFSET($B8,-1,0),K289:OFFSET(K290,-1,0))+$B$9*Компания!K284/IF(CUR_I_Report=2,Проект!K$98,1)</f>
        <v>0</v>
      </c>
    </row>
    <row r="289" spans="1:13" hidden="1" outlineLevel="2">
      <c r="A289" s="13" t="str">
        <f>A7</f>
        <v xml:space="preserve">    Ресторан восточной кухни</v>
      </c>
      <c r="B289" s="135"/>
      <c r="C289" s="132">
        <f t="shared" si="38"/>
        <v>0</v>
      </c>
      <c r="D289" s="135" t="s">
        <v>1317</v>
      </c>
      <c r="E289" s="135"/>
      <c r="F289" s="136">
        <f ca="1">Проект!F$962</f>
        <v>0</v>
      </c>
      <c r="G289" s="136">
        <f ca="1">Проект!G$962</f>
        <v>0</v>
      </c>
      <c r="H289" s="136">
        <f ca="1">Проект!H$962</f>
        <v>0</v>
      </c>
      <c r="I289" s="136">
        <f ca="1">Проект!I$962</f>
        <v>0</v>
      </c>
      <c r="J289" s="136">
        <f ca="1">Проект!J$962</f>
        <v>0</v>
      </c>
      <c r="K289" s="136">
        <f ca="1">Проект!K$962</f>
        <v>0</v>
      </c>
      <c r="L289" s="136"/>
      <c r="M289" s="134"/>
    </row>
    <row r="290" spans="1:13" outlineLevel="1" collapsed="1">
      <c r="A290" s="47" t="str">
        <f ca="1">OFFSET(Язык!$A$468,0,LANGUAGE)</f>
        <v xml:space="preserve">    за постоянные активы</v>
      </c>
      <c r="C290" s="132">
        <f t="shared" si="38"/>
        <v>0</v>
      </c>
      <c r="D290" s="1" t="s">
        <v>1736</v>
      </c>
      <c r="F290" s="134">
        <f ca="1">SUMPRODUCT($B7:OFFSET($B8,-1,0),F291:OFFSET(F292,-1,0))+$B$9*Компания!F285/IF(CUR_I_Report=2,Проект!F$98,1)</f>
        <v>0</v>
      </c>
      <c r="G290" s="134">
        <f ca="1">SUMPRODUCT($B7:OFFSET($B8,-1,0),G291:OFFSET(G292,-1,0))+$B$9*Компания!G285/IF(CUR_I_Report=2,Проект!G$98,1)</f>
        <v>0</v>
      </c>
      <c r="H290" s="134">
        <f ca="1">SUMPRODUCT($B7:OFFSET($B8,-1,0),H291:OFFSET(H292,-1,0))+$B$9*Компания!H285/IF(CUR_I_Report=2,Проект!H$98,1)</f>
        <v>0</v>
      </c>
      <c r="I290" s="134">
        <f ca="1">SUMPRODUCT($B7:OFFSET($B8,-1,0),I291:OFFSET(I292,-1,0))+$B$9*Компания!I285/IF(CUR_I_Report=2,Проект!I$98,1)</f>
        <v>0</v>
      </c>
      <c r="J290" s="134">
        <f ca="1">SUMPRODUCT($B7:OFFSET($B8,-1,0),J291:OFFSET(J292,-1,0))+$B$9*Компания!J285/IF(CUR_I_Report=2,Проект!J$98,1)</f>
        <v>0</v>
      </c>
      <c r="K290" s="134">
        <f ca="1">SUMPRODUCT($B7:OFFSET($B8,-1,0),K291:OFFSET(K292,-1,0))+$B$9*Компания!K285/IF(CUR_I_Report=2,Проект!K$98,1)</f>
        <v>0</v>
      </c>
    </row>
    <row r="291" spans="1:13" hidden="1" outlineLevel="2">
      <c r="A291" s="13" t="str">
        <f>A7</f>
        <v xml:space="preserve">    Ресторан восточной кухни</v>
      </c>
      <c r="B291" s="135"/>
      <c r="C291" s="132">
        <f t="shared" si="38"/>
        <v>0</v>
      </c>
      <c r="D291" s="135" t="s">
        <v>1317</v>
      </c>
      <c r="E291" s="135"/>
      <c r="F291" s="136">
        <f ca="1">Проект!F$963</f>
        <v>0</v>
      </c>
      <c r="G291" s="136">
        <f ca="1">Проект!G$963</f>
        <v>0</v>
      </c>
      <c r="H291" s="136">
        <f ca="1">Проект!H$963</f>
        <v>0</v>
      </c>
      <c r="I291" s="136">
        <f ca="1">Проект!I$963</f>
        <v>0</v>
      </c>
      <c r="J291" s="136">
        <f ca="1">Проект!J$963</f>
        <v>0</v>
      </c>
      <c r="K291" s="136">
        <f ca="1">Проект!K$963</f>
        <v>0</v>
      </c>
      <c r="L291" s="136"/>
      <c r="M291" s="134"/>
    </row>
    <row r="292" spans="1:13" outlineLevel="1" collapsed="1">
      <c r="A292" s="47" t="str">
        <f ca="1">OFFSET(Язык!$A$469,0,LANGUAGE)</f>
        <v>Расчеты с бюджетом</v>
      </c>
      <c r="C292" s="132">
        <f t="shared" si="38"/>
        <v>0</v>
      </c>
      <c r="D292" s="1" t="s">
        <v>1736</v>
      </c>
      <c r="F292" s="134">
        <f ca="1">SUMPRODUCT($B7:OFFSET($B8,-1,0),F293:OFFSET(F294,-1,0))+$B$9*Компания!F286/IF(CUR_I_Report=2,Проект!F$98,1)</f>
        <v>0</v>
      </c>
      <c r="G292" s="134">
        <f ca="1">SUMPRODUCT($B7:OFFSET($B8,-1,0),G293:OFFSET(G294,-1,0))+$B$9*Компания!G286/IF(CUR_I_Report=2,Проект!G$98,1)</f>
        <v>118575.13750000001</v>
      </c>
      <c r="H292" s="134">
        <f ca="1">SUMPRODUCT($B7:OFFSET($B8,-1,0),H293:OFFSET(H294,-1,0))+$B$9*Компания!H286/IF(CUR_I_Report=2,Проект!H$98,1)</f>
        <v>196240.81781250011</v>
      </c>
      <c r="I292" s="134">
        <f ca="1">SUMPRODUCT($B7:OFFSET($B8,-1,0),I293:OFFSET(I294,-1,0))+$B$9*Компания!I286/IF(CUR_I_Report=2,Проект!I$98,1)</f>
        <v>209981.59429464303</v>
      </c>
      <c r="J292" s="134">
        <f ca="1">SUMPRODUCT($B7:OFFSET($B8,-1,0),J293:OFFSET(J294,-1,0))+$B$9*Компания!J286/IF(CUR_I_Report=2,Проект!J$98,1)</f>
        <v>269057.88093392883</v>
      </c>
      <c r="K292" s="134">
        <f ca="1">SUMPRODUCT($B7:OFFSET($B8,-1,0),K293:OFFSET(K294,-1,0))+$B$9*Компания!K286/IF(CUR_I_Report=2,Проект!K$98,1)</f>
        <v>331247.16110321454</v>
      </c>
    </row>
    <row r="293" spans="1:13" hidden="1" outlineLevel="2">
      <c r="A293" s="13" t="str">
        <f>A7</f>
        <v xml:space="preserve">    Ресторан восточной кухни</v>
      </c>
      <c r="B293" s="135"/>
      <c r="C293" s="132">
        <f t="shared" si="38"/>
        <v>0</v>
      </c>
      <c r="D293" s="135" t="s">
        <v>1317</v>
      </c>
      <c r="E293" s="135"/>
      <c r="F293" s="136">
        <f>Проект!F$964</f>
        <v>0</v>
      </c>
      <c r="G293" s="136">
        <f ca="1">Проект!G$964</f>
        <v>118575.13750000001</v>
      </c>
      <c r="H293" s="136">
        <f ca="1">Проект!H$964</f>
        <v>196240.81781250011</v>
      </c>
      <c r="I293" s="136">
        <f ca="1">Проект!I$964</f>
        <v>209981.59429464303</v>
      </c>
      <c r="J293" s="136">
        <f ca="1">Проект!J$964</f>
        <v>269057.88093392883</v>
      </c>
      <c r="K293" s="136">
        <f ca="1">Проект!K$964</f>
        <v>331247.16110321454</v>
      </c>
      <c r="L293" s="136"/>
      <c r="M293" s="134"/>
    </row>
    <row r="294" spans="1:13" outlineLevel="1" collapsed="1">
      <c r="A294" s="47" t="str">
        <f ca="1">OFFSET(Язык!$A$470,0,LANGUAGE)</f>
        <v>Расчеты с персоналом</v>
      </c>
      <c r="C294" s="132">
        <f t="shared" si="38"/>
        <v>0</v>
      </c>
      <c r="D294" s="1" t="s">
        <v>1736</v>
      </c>
      <c r="F294" s="134">
        <f ca="1">SUMPRODUCT($B7:OFFSET($B8,-1,0),F295:OFFSET(F296,-1,0))+$B$9*Компания!F287/IF(CUR_I_Report=2,Проект!F$98,1)</f>
        <v>0</v>
      </c>
      <c r="G294" s="134">
        <f ca="1">SUMPRODUCT($B7:OFFSET($B8,-1,0),G295:OFFSET(G296,-1,0))+$B$9*Компания!G287/IF(CUR_I_Report=2,Проект!G$98,1)</f>
        <v>3287.5</v>
      </c>
      <c r="H294" s="134">
        <f ca="1">SUMPRODUCT($B7:OFFSET($B8,-1,0),H295:OFFSET(H296,-1,0))+$B$9*Компания!H287/IF(CUR_I_Report=2,Проект!H$98,1)</f>
        <v>1842.5</v>
      </c>
      <c r="I294" s="134">
        <f ca="1">SUMPRODUCT($B7:OFFSET($B8,-1,0),I295:OFFSET(I296,-1,0))+$B$9*Компания!I287/IF(CUR_I_Report=2,Проект!I$98,1)</f>
        <v>15911.5</v>
      </c>
      <c r="J294" s="134">
        <f ca="1">SUMPRODUCT($B7:OFFSET($B8,-1,0),J295:OFFSET(J296,-1,0))+$B$9*Компания!J287/IF(CUR_I_Report=2,Проект!J$98,1)</f>
        <v>17502.650000000001</v>
      </c>
      <c r="K294" s="134">
        <f ca="1">SUMPRODUCT($B7:OFFSET($B8,-1,0),K295:OFFSET(K296,-1,0))+$B$9*Компания!K287/IF(CUR_I_Report=2,Проект!K$98,1)</f>
        <v>19252.915000000001</v>
      </c>
    </row>
    <row r="295" spans="1:13" hidden="1" outlineLevel="2">
      <c r="A295" s="13" t="str">
        <f>A7</f>
        <v xml:space="preserve">    Ресторан восточной кухни</v>
      </c>
      <c r="B295" s="135"/>
      <c r="C295" s="132">
        <f t="shared" si="38"/>
        <v>0</v>
      </c>
      <c r="D295" s="135" t="s">
        <v>1317</v>
      </c>
      <c r="E295" s="135"/>
      <c r="F295" s="136">
        <f>Проект!F$965</f>
        <v>0</v>
      </c>
      <c r="G295" s="136">
        <f ca="1">Проект!G$965</f>
        <v>3287.5</v>
      </c>
      <c r="H295" s="136">
        <f>Проект!H$965</f>
        <v>1842.5</v>
      </c>
      <c r="I295" s="136">
        <f ca="1">Проект!I$965</f>
        <v>15911.5</v>
      </c>
      <c r="J295" s="136">
        <f ca="1">Проект!J$965</f>
        <v>17502.650000000001</v>
      </c>
      <c r="K295" s="136">
        <f ca="1">Проект!K$965</f>
        <v>19252.915000000001</v>
      </c>
      <c r="L295" s="136"/>
      <c r="M295" s="134"/>
    </row>
    <row r="296" spans="1:13" outlineLevel="1" collapsed="1">
      <c r="A296" s="47" t="str">
        <f ca="1">OFFSET(Язык!$A$471,0,LANGUAGE)</f>
        <v>Авансы покупателей</v>
      </c>
      <c r="C296" s="132">
        <f t="shared" si="38"/>
        <v>0</v>
      </c>
      <c r="D296" s="1" t="s">
        <v>1736</v>
      </c>
      <c r="F296" s="134">
        <f ca="1">SUMPRODUCT($B7:OFFSET($B8,-1,0),F297:OFFSET(F298,-1,0))+$B$9*Компания!F288/IF(CUR_I_Report=2,Проект!F$98,1)</f>
        <v>0</v>
      </c>
      <c r="G296" s="134">
        <f ca="1">SUMPRODUCT($B7:OFFSET($B8,-1,0),G297:OFFSET(G298,-1,0))+$B$9*Компания!G288/IF(CUR_I_Report=2,Проект!G$98,1)</f>
        <v>0</v>
      </c>
      <c r="H296" s="134">
        <f ca="1">SUMPRODUCT($B7:OFFSET($B8,-1,0),H297:OFFSET(H298,-1,0))+$B$9*Компания!H288/IF(CUR_I_Report=2,Проект!H$98,1)</f>
        <v>0</v>
      </c>
      <c r="I296" s="134">
        <f ca="1">SUMPRODUCT($B7:OFFSET($B8,-1,0),I297:OFFSET(I298,-1,0))+$B$9*Компания!I288/IF(CUR_I_Report=2,Проект!I$98,1)</f>
        <v>0</v>
      </c>
      <c r="J296" s="134">
        <f ca="1">SUMPRODUCT($B7:OFFSET($B8,-1,0),J297:OFFSET(J298,-1,0))+$B$9*Компания!J288/IF(CUR_I_Report=2,Проект!J$98,1)</f>
        <v>0</v>
      </c>
      <c r="K296" s="134">
        <f ca="1">SUMPRODUCT($B7:OFFSET($B8,-1,0),K297:OFFSET(K298,-1,0))+$B$9*Компания!K288/IF(CUR_I_Report=2,Проект!K$98,1)</f>
        <v>0</v>
      </c>
    </row>
    <row r="297" spans="1:13" hidden="1" outlineLevel="2">
      <c r="A297" s="13" t="str">
        <f>A7</f>
        <v xml:space="preserve">    Ресторан восточной кухни</v>
      </c>
      <c r="B297" s="135"/>
      <c r="C297" s="132">
        <f t="shared" si="38"/>
        <v>0</v>
      </c>
      <c r="D297" s="135" t="s">
        <v>1317</v>
      </c>
      <c r="E297" s="135"/>
      <c r="F297" s="136">
        <f ca="1">Проект!F$966</f>
        <v>0</v>
      </c>
      <c r="G297" s="136">
        <f ca="1">Проект!G$966</f>
        <v>0</v>
      </c>
      <c r="H297" s="136">
        <f ca="1">Проект!H$966</f>
        <v>0</v>
      </c>
      <c r="I297" s="136">
        <f ca="1">Проект!I$966</f>
        <v>0</v>
      </c>
      <c r="J297" s="136">
        <f ca="1">Проект!J$966</f>
        <v>0</v>
      </c>
      <c r="K297" s="136">
        <f ca="1">Проект!K$966</f>
        <v>0</v>
      </c>
      <c r="L297" s="136"/>
      <c r="M297" s="134"/>
    </row>
    <row r="298" spans="1:13" outlineLevel="1" collapsed="1">
      <c r="A298" s="47" t="str">
        <f ca="1">OFFSET(Язык!$A$472,0,LANGUAGE)</f>
        <v>Краткосрочные кредиты</v>
      </c>
      <c r="C298" s="132">
        <f t="shared" si="38"/>
        <v>0</v>
      </c>
      <c r="D298" s="1" t="s">
        <v>1736</v>
      </c>
      <c r="F298" s="134">
        <f ca="1">SUMPRODUCT($B7:OFFSET($B8,-1,0),F299:OFFSET(F300,-1,0))+$B$9*Компания!F289/IF(CUR_I_Report=2,Проект!F$98,1)</f>
        <v>0</v>
      </c>
      <c r="G298" s="134">
        <f ca="1">SUMPRODUCT($B7:OFFSET($B8,-1,0),G299:OFFSET(G300,-1,0))+$B$9*Компания!G289/IF(CUR_I_Report=2,Проект!G$98,1)</f>
        <v>0</v>
      </c>
      <c r="H298" s="134">
        <f ca="1">SUMPRODUCT($B7:OFFSET($B8,-1,0),H299:OFFSET(H300,-1,0))+$B$9*Компания!H289/IF(CUR_I_Report=2,Проект!H$98,1)</f>
        <v>0</v>
      </c>
      <c r="I298" s="134">
        <f ca="1">SUMPRODUCT($B7:OFFSET($B8,-1,0),I299:OFFSET(I300,-1,0))+$B$9*Компания!I289/IF(CUR_I_Report=2,Проект!I$98,1)</f>
        <v>0</v>
      </c>
      <c r="J298" s="134">
        <f ca="1">SUMPRODUCT($B7:OFFSET($B8,-1,0),J299:OFFSET(J300,-1,0))+$B$9*Компания!J289/IF(CUR_I_Report=2,Проект!J$98,1)</f>
        <v>0</v>
      </c>
      <c r="K298" s="134">
        <f ca="1">SUMPRODUCT($B7:OFFSET($B8,-1,0),K299:OFFSET(K300,-1,0))+$B$9*Компания!K289/IF(CUR_I_Report=2,Проект!K$98,1)</f>
        <v>0</v>
      </c>
    </row>
    <row r="299" spans="1:13" hidden="1" outlineLevel="2">
      <c r="A299" s="13" t="str">
        <f>A7</f>
        <v xml:space="preserve">    Ресторан восточной кухни</v>
      </c>
      <c r="B299" s="135"/>
      <c r="C299" s="132">
        <f t="shared" si="38"/>
        <v>0</v>
      </c>
      <c r="D299" s="135" t="s">
        <v>1317</v>
      </c>
      <c r="E299" s="135"/>
      <c r="F299" s="136">
        <f>Проект!F$967</f>
        <v>0</v>
      </c>
      <c r="G299" s="136">
        <f>Проект!G$967</f>
        <v>0</v>
      </c>
      <c r="H299" s="136">
        <f>Проект!H$967</f>
        <v>0</v>
      </c>
      <c r="I299" s="136">
        <f>Проект!I$967</f>
        <v>0</v>
      </c>
      <c r="J299" s="136">
        <f>Проект!J$967</f>
        <v>0</v>
      </c>
      <c r="K299" s="136">
        <f>Проект!K$967</f>
        <v>0</v>
      </c>
      <c r="L299" s="136"/>
      <c r="M299" s="134"/>
    </row>
    <row r="300" spans="1:13" outlineLevel="1" collapsed="1">
      <c r="A300" s="47" t="str">
        <f ca="1">OFFSET(Язык!$A$473,0,LANGUAGE)</f>
        <v>Прочие краткосрочные обязательства</v>
      </c>
      <c r="B300" s="135"/>
      <c r="C300" s="132">
        <f t="shared" si="38"/>
        <v>0</v>
      </c>
      <c r="D300" s="1" t="s">
        <v>1736</v>
      </c>
      <c r="E300" s="135"/>
      <c r="F300" s="134">
        <f ca="1">SUMPRODUCT($B7:OFFSET($B8,-1,0),F301:OFFSET(F302,-1,0))+$B$9*Компания!F290/IF(CUR_I_Report=2,Проект!F$98,1)</f>
        <v>0</v>
      </c>
      <c r="G300" s="134">
        <f ca="1">SUMPRODUCT($B7:OFFSET($B8,-1,0),G301:OFFSET(G302,-1,0))+$B$9*Компания!G290/IF(CUR_I_Report=2,Проект!G$98,1)</f>
        <v>0</v>
      </c>
      <c r="H300" s="134">
        <f ca="1">SUMPRODUCT($B7:OFFSET($B8,-1,0),H301:OFFSET(H302,-1,0))+$B$9*Компания!H290/IF(CUR_I_Report=2,Проект!H$98,1)</f>
        <v>0</v>
      </c>
      <c r="I300" s="134">
        <f ca="1">SUMPRODUCT($B7:OFFSET($B8,-1,0),I301:OFFSET(I302,-1,0))+$B$9*Компания!I290/IF(CUR_I_Report=2,Проект!I$98,1)</f>
        <v>0</v>
      </c>
      <c r="J300" s="134">
        <f ca="1">SUMPRODUCT($B7:OFFSET($B8,-1,0),J301:OFFSET(J302,-1,0))+$B$9*Компания!J290/IF(CUR_I_Report=2,Проект!J$98,1)</f>
        <v>0</v>
      </c>
      <c r="K300" s="134">
        <f ca="1">SUMPRODUCT($B7:OFFSET($B8,-1,0),K301:OFFSET(K302,-1,0))+$B$9*Компания!K290/IF(CUR_I_Report=2,Проект!K$98,1)</f>
        <v>0</v>
      </c>
      <c r="L300" s="136"/>
      <c r="M300" s="134"/>
    </row>
    <row r="301" spans="1:13" hidden="1" outlineLevel="2">
      <c r="A301" s="13" t="str">
        <f>A7</f>
        <v xml:space="preserve">    Ресторан восточной кухни</v>
      </c>
      <c r="B301" s="135"/>
      <c r="C301" s="132">
        <f t="shared" si="38"/>
        <v>0</v>
      </c>
      <c r="D301" s="135" t="s">
        <v>1317</v>
      </c>
      <c r="E301" s="135"/>
      <c r="F301" s="136">
        <f>Проект!F$968</f>
        <v>0</v>
      </c>
      <c r="G301" s="136">
        <f>Проект!G$968</f>
        <v>0</v>
      </c>
      <c r="H301" s="136">
        <f>Проект!H$968</f>
        <v>0</v>
      </c>
      <c r="I301" s="136">
        <f>Проект!I$968</f>
        <v>0</v>
      </c>
      <c r="J301" s="136">
        <f>Проект!J$968</f>
        <v>0</v>
      </c>
      <c r="K301" s="136">
        <f>Проект!K$968</f>
        <v>0</v>
      </c>
      <c r="L301" s="136"/>
      <c r="M301" s="134"/>
    </row>
    <row r="302" spans="1:13" outlineLevel="1">
      <c r="A302" s="13"/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4"/>
    </row>
    <row r="303" spans="1:13" outlineLevel="1">
      <c r="A303" s="32" t="str">
        <f ca="1">OFFSET(Язык!$A$474,0,LANGUAGE)</f>
        <v>Суммарные краткосрочные обязательства</v>
      </c>
      <c r="C303" s="132">
        <f>CUR_Report</f>
        <v>0</v>
      </c>
      <c r="D303" s="1" t="s">
        <v>1736</v>
      </c>
      <c r="F303" s="225">
        <f t="shared" ref="F303:J303" ca="1" si="39">F286+F292+F294+F296+F298+F300</f>
        <v>0</v>
      </c>
      <c r="G303" s="225">
        <f t="shared" ca="1" si="39"/>
        <v>121862.63750000001</v>
      </c>
      <c r="H303" s="225">
        <f t="shared" ca="1" si="39"/>
        <v>198083.31781250011</v>
      </c>
      <c r="I303" s="225">
        <f t="shared" ca="1" si="39"/>
        <v>225893.09429464303</v>
      </c>
      <c r="J303" s="225">
        <f t="shared" ca="1" si="39"/>
        <v>286560.53093392885</v>
      </c>
      <c r="K303" s="225">
        <f t="shared" ref="K303" ca="1" si="40">K286+K292+K294+K296+K298+K300</f>
        <v>350500.07610321452</v>
      </c>
    </row>
    <row r="304" spans="1:13" outlineLevel="1">
      <c r="A304" s="2"/>
      <c r="F304" s="134"/>
      <c r="G304" s="134"/>
      <c r="H304" s="134"/>
      <c r="I304" s="134"/>
      <c r="J304" s="134"/>
      <c r="K304" s="134"/>
    </row>
    <row r="305" spans="1:13" outlineLevel="1" collapsed="1">
      <c r="A305" s="32" t="str">
        <f ca="1">OFFSET(Язык!$A$475,0,LANGUAGE)</f>
        <v>Долгосрочные обязательства</v>
      </c>
      <c r="C305" s="132">
        <f>CUR_Report</f>
        <v>0</v>
      </c>
      <c r="D305" s="1" t="s">
        <v>1736</v>
      </c>
      <c r="F305" s="225">
        <f ca="1">SUMPRODUCT($B7:OFFSET($B8,-1,0),F306:OFFSET(F307,-1,0))+$B$9*Компания!F293/IF(CUR_I_Report=2,Проект!F$98,1)</f>
        <v>0</v>
      </c>
      <c r="G305" s="225">
        <f ca="1">SUMPRODUCT($B7:OFFSET($B8,-1,0),G306:OFFSET(G307,-1,0))+$B$9*Компания!G293/IF(CUR_I_Report=2,Проект!G$98,1)</f>
        <v>2906000</v>
      </c>
      <c r="H305" s="225">
        <f ca="1">SUMPRODUCT($B7:OFFSET($B8,-1,0),H306:OFFSET(H307,-1,0))+$B$9*Компания!H293/IF(CUR_I_Report=2,Проект!H$98,1)</f>
        <v>1936000</v>
      </c>
      <c r="I305" s="225">
        <f ca="1">SUMPRODUCT($B7:OFFSET($B8,-1,0),I306:OFFSET(I307,-1,0))+$B$9*Компания!I293/IF(CUR_I_Report=2,Проект!I$98,1)</f>
        <v>966000</v>
      </c>
      <c r="J305" s="225">
        <f ca="1">SUMPRODUCT($B7:OFFSET($B8,-1,0),J306:OFFSET(J307,-1,0))+$B$9*Компания!J293/IF(CUR_I_Report=2,Проект!J$98,1)</f>
        <v>0</v>
      </c>
      <c r="K305" s="225">
        <f ca="1">SUMPRODUCT($B7:OFFSET($B8,-1,0),K306:OFFSET(K307,-1,0))+$B$9*Компания!K293/IF(CUR_I_Report=2,Проект!K$98,1)</f>
        <v>0</v>
      </c>
    </row>
    <row r="306" spans="1:13" hidden="1" outlineLevel="2">
      <c r="A306" s="13" t="str">
        <f>A7</f>
        <v xml:space="preserve">    Ресторан восточной кухни</v>
      </c>
      <c r="B306" s="135"/>
      <c r="C306" s="132">
        <f>CUR_Report</f>
        <v>0</v>
      </c>
      <c r="D306" s="135" t="s">
        <v>1317</v>
      </c>
      <c r="E306" s="135"/>
      <c r="F306" s="136">
        <f>Проект!F$971</f>
        <v>0</v>
      </c>
      <c r="G306" s="136">
        <f>Проект!G$971</f>
        <v>2906000</v>
      </c>
      <c r="H306" s="136">
        <f>Проект!H$971</f>
        <v>1936000</v>
      </c>
      <c r="I306" s="136">
        <f>Проект!I$971</f>
        <v>966000</v>
      </c>
      <c r="J306" s="136">
        <f>Проект!J$971</f>
        <v>0</v>
      </c>
      <c r="K306" s="136">
        <f>Проект!K$971</f>
        <v>0</v>
      </c>
      <c r="L306" s="136"/>
      <c r="M306" s="134"/>
    </row>
    <row r="307" spans="1:13" outlineLevel="1">
      <c r="A307" s="2"/>
      <c r="F307" s="134"/>
      <c r="G307" s="134"/>
      <c r="H307" s="134"/>
      <c r="I307" s="134"/>
      <c r="J307" s="134"/>
      <c r="K307" s="134"/>
    </row>
    <row r="308" spans="1:13" outlineLevel="1" collapsed="1">
      <c r="A308" s="47" t="str">
        <f ca="1">OFFSET(Язык!$A$476,0,LANGUAGE)</f>
        <v>Акционерный капитал</v>
      </c>
      <c r="C308" s="132">
        <f t="shared" ref="C308:C313" si="41">CUR_Report</f>
        <v>0</v>
      </c>
      <c r="D308" s="1" t="s">
        <v>1736</v>
      </c>
      <c r="F308" s="134">
        <f ca="1">SUMPRODUCT($B7:OFFSET($B8,-1,0),F309:OFFSET(F310,-1,0))+$B$9*Компания!F295/IF(CUR_I_Report=2,Проект!F$98,1)</f>
        <v>0</v>
      </c>
      <c r="G308" s="134">
        <f ca="1">SUMPRODUCT($B7:OFFSET($B8,-1,0),G309:OFFSET(G310,-1,0))+$B$9*Компания!G295/IF(CUR_I_Report=2,Проект!G$98,1)</f>
        <v>0</v>
      </c>
      <c r="H308" s="134">
        <f ca="1">SUMPRODUCT($B7:OFFSET($B8,-1,0),H309:OFFSET(H310,-1,0))+$B$9*Компания!H295/IF(CUR_I_Report=2,Проект!H$98,1)</f>
        <v>0</v>
      </c>
      <c r="I308" s="134">
        <f ca="1">SUMPRODUCT($B7:OFFSET($B8,-1,0),I309:OFFSET(I310,-1,0))+$B$9*Компания!I295/IF(CUR_I_Report=2,Проект!I$98,1)</f>
        <v>0</v>
      </c>
      <c r="J308" s="134">
        <f ca="1">SUMPRODUCT($B7:OFFSET($B8,-1,0),J309:OFFSET(J310,-1,0))+$B$9*Компания!J295/IF(CUR_I_Report=2,Проект!J$98,1)</f>
        <v>0</v>
      </c>
      <c r="K308" s="134">
        <f ca="1">SUMPRODUCT($B7:OFFSET($B8,-1,0),K309:OFFSET(K310,-1,0))+$B$9*Компания!K295/IF(CUR_I_Report=2,Проект!K$98,1)</f>
        <v>0</v>
      </c>
    </row>
    <row r="309" spans="1:13" hidden="1" outlineLevel="2">
      <c r="A309" s="13" t="str">
        <f>A7</f>
        <v xml:space="preserve">    Ресторан восточной кухни</v>
      </c>
      <c r="B309" s="135"/>
      <c r="C309" s="132">
        <f t="shared" si="41"/>
        <v>0</v>
      </c>
      <c r="D309" s="135" t="s">
        <v>1317</v>
      </c>
      <c r="E309" s="135"/>
      <c r="F309" s="136">
        <f>Проект!F$973</f>
        <v>0</v>
      </c>
      <c r="G309" s="136">
        <f>Проект!G$973</f>
        <v>0</v>
      </c>
      <c r="H309" s="136">
        <f>Проект!H$973</f>
        <v>0</v>
      </c>
      <c r="I309" s="136">
        <f>Проект!I$973</f>
        <v>0</v>
      </c>
      <c r="J309" s="136">
        <f>Проект!J$973</f>
        <v>0</v>
      </c>
      <c r="K309" s="136">
        <f>Проект!K$973</f>
        <v>0</v>
      </c>
      <c r="L309" s="136"/>
      <c r="M309" s="134"/>
    </row>
    <row r="310" spans="1:13" outlineLevel="1" collapsed="1">
      <c r="A310" s="47" t="str">
        <f ca="1">OFFSET(Язык!$A$477,0,LANGUAGE)</f>
        <v>Нераспределенная прибыль</v>
      </c>
      <c r="C310" s="132">
        <f t="shared" si="41"/>
        <v>0</v>
      </c>
      <c r="D310" s="1" t="s">
        <v>1736</v>
      </c>
      <c r="F310" s="134">
        <f ca="1">SUMPRODUCT($B7:OFFSET($B8,-1,0),F311:OFFSET(F312,-1,0))+$B$9*Компания!F296/IF(CUR_I_Report=2,Проект!F$98,1)</f>
        <v>0</v>
      </c>
      <c r="G310" s="134">
        <f ca="1">SUMPRODUCT($B7:OFFSET($B8,-1,0),G311:OFFSET(G312,-1,0))+$B$9*Компания!G296/IF(CUR_I_Report=2,Проект!G$98,1)</f>
        <v>441415.22857142857</v>
      </c>
      <c r="H310" s="134">
        <f ca="1">SUMPRODUCT($B7:OFFSET($B8,-1,0),H311:OFFSET(H312,-1,0))+$B$9*Компания!H296/IF(CUR_I_Report=2,Проект!H$98,1)</f>
        <v>1230052.2292857147</v>
      </c>
      <c r="I310" s="134">
        <f ca="1">SUMPRODUCT($B7:OFFSET($B8,-1,0),I311:OFFSET(I312,-1,0))+$B$9*Компания!I296/IF(CUR_I_Report=2,Проект!I$98,1)</f>
        <v>1911627.5034285726</v>
      </c>
      <c r="J310" s="134">
        <f ca="1">SUMPRODUCT($B7:OFFSET($B8,-1,0),J311:OFFSET(J312,-1,0))+$B$9*Компания!J296/IF(CUR_I_Report=2,Проект!J$98,1)</f>
        <v>2825053.0553428596</v>
      </c>
      <c r="K310" s="134">
        <f ca="1">SUMPRODUCT($B7:OFFSET($B8,-1,0),K311:OFFSET(K312,-1,0))+$B$9*Компания!K296/IF(CUR_I_Report=2,Проект!K$98,1)</f>
        <v>3981668.0749485749</v>
      </c>
    </row>
    <row r="311" spans="1:13" hidden="1" outlineLevel="2">
      <c r="A311" s="13" t="str">
        <f>A7</f>
        <v xml:space="preserve">    Ресторан восточной кухни</v>
      </c>
      <c r="B311" s="135"/>
      <c r="C311" s="132">
        <f t="shared" si="41"/>
        <v>0</v>
      </c>
      <c r="D311" s="135" t="s">
        <v>1317</v>
      </c>
      <c r="E311" s="135"/>
      <c r="F311" s="136">
        <f>Проект!F$974</f>
        <v>0</v>
      </c>
      <c r="G311" s="136">
        <f ca="1">Проект!G$974</f>
        <v>441415.22857142857</v>
      </c>
      <c r="H311" s="136">
        <f ca="1">Проект!H$974</f>
        <v>1230052.2292857147</v>
      </c>
      <c r="I311" s="136">
        <f ca="1">Проект!I$974</f>
        <v>1911627.5034285726</v>
      </c>
      <c r="J311" s="136">
        <f ca="1">Проект!J$974</f>
        <v>2825053.0553428596</v>
      </c>
      <c r="K311" s="136">
        <f ca="1">Проект!K$974</f>
        <v>3981668.0749485749</v>
      </c>
      <c r="L311" s="136"/>
      <c r="M311" s="134"/>
    </row>
    <row r="312" spans="1:13" outlineLevel="1" collapsed="1">
      <c r="A312" s="47" t="str">
        <f ca="1">OFFSET(Язык!$A$478,0,LANGUAGE)</f>
        <v>Прочие источники финансирования</v>
      </c>
      <c r="B312" s="135"/>
      <c r="C312" s="132">
        <f t="shared" si="41"/>
        <v>0</v>
      </c>
      <c r="D312" s="1" t="s">
        <v>1736</v>
      </c>
      <c r="E312" s="135"/>
      <c r="F312" s="134">
        <f ca="1">SUMPRODUCT($B7:OFFSET($B8,-1,0),F313:OFFSET(F314,-1,0))+$B$9*Компания!F297/IF(CUR_I_Report=2,Проект!F$98,1)</f>
        <v>0</v>
      </c>
      <c r="G312" s="134">
        <f ca="1">SUMPRODUCT($B7:OFFSET($B8,-1,0),G313:OFFSET(G314,-1,0))+$B$9*Компания!G297/IF(CUR_I_Report=2,Проект!G$98,1)</f>
        <v>0</v>
      </c>
      <c r="H312" s="134">
        <f ca="1">SUMPRODUCT($B7:OFFSET($B8,-1,0),H313:OFFSET(H314,-1,0))+$B$9*Компания!H297/IF(CUR_I_Report=2,Проект!H$98,1)</f>
        <v>0</v>
      </c>
      <c r="I312" s="134">
        <f ca="1">SUMPRODUCT($B7:OFFSET($B8,-1,0),I313:OFFSET(I314,-1,0))+$B$9*Компания!I297/IF(CUR_I_Report=2,Проект!I$98,1)</f>
        <v>0</v>
      </c>
      <c r="J312" s="134">
        <f ca="1">SUMPRODUCT($B7:OFFSET($B8,-1,0),J313:OFFSET(J314,-1,0))+$B$9*Компания!J297/IF(CUR_I_Report=2,Проект!J$98,1)</f>
        <v>0</v>
      </c>
      <c r="K312" s="134">
        <f ca="1">SUMPRODUCT($B7:OFFSET($B8,-1,0),K313:OFFSET(K314,-1,0))+$B$9*Компания!K297/IF(CUR_I_Report=2,Проект!K$98,1)</f>
        <v>0</v>
      </c>
      <c r="L312" s="136"/>
      <c r="M312" s="134"/>
    </row>
    <row r="313" spans="1:13" hidden="1" outlineLevel="2">
      <c r="A313" s="13" t="str">
        <f>A7</f>
        <v xml:space="preserve">    Ресторан восточной кухни</v>
      </c>
      <c r="B313" s="135"/>
      <c r="C313" s="132">
        <f t="shared" si="41"/>
        <v>0</v>
      </c>
      <c r="D313" s="135" t="s">
        <v>1317</v>
      </c>
      <c r="E313" s="135"/>
      <c r="F313" s="136">
        <f>Проект!F$975</f>
        <v>0</v>
      </c>
      <c r="G313" s="136">
        <f>Проект!G$975</f>
        <v>0</v>
      </c>
      <c r="H313" s="136">
        <f>Проект!H$975</f>
        <v>0</v>
      </c>
      <c r="I313" s="136">
        <f>Проект!I$975</f>
        <v>0</v>
      </c>
      <c r="J313" s="136">
        <f>Проект!J$975</f>
        <v>0</v>
      </c>
      <c r="K313" s="136">
        <f>Проект!K$975</f>
        <v>0</v>
      </c>
      <c r="L313" s="136"/>
      <c r="M313" s="134"/>
    </row>
    <row r="314" spans="1:13" outlineLevel="1">
      <c r="A314" s="13"/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4"/>
    </row>
    <row r="315" spans="1:13" outlineLevel="1">
      <c r="A315" s="32" t="str">
        <f ca="1">OFFSET(Язык!$A$479,0,LANGUAGE)</f>
        <v>Суммарный собственный капитал</v>
      </c>
      <c r="C315" s="132">
        <f>CUR_Report</f>
        <v>0</v>
      </c>
      <c r="D315" s="1" t="s">
        <v>1736</v>
      </c>
      <c r="F315" s="225">
        <f t="shared" ref="F315:J315" ca="1" si="42">F308+F310+F312</f>
        <v>0</v>
      </c>
      <c r="G315" s="225">
        <f t="shared" ca="1" si="42"/>
        <v>441415.22857142857</v>
      </c>
      <c r="H315" s="225">
        <f t="shared" ca="1" si="42"/>
        <v>1230052.2292857147</v>
      </c>
      <c r="I315" s="225">
        <f t="shared" ca="1" si="42"/>
        <v>1911627.5034285726</v>
      </c>
      <c r="J315" s="225">
        <f t="shared" ca="1" si="42"/>
        <v>2825053.0553428596</v>
      </c>
      <c r="K315" s="225">
        <f t="shared" ref="K315" ca="1" si="43">K308+K310+K312</f>
        <v>3981668.0749485749</v>
      </c>
    </row>
    <row r="316" spans="1:13" outlineLevel="1">
      <c r="A316" s="47"/>
      <c r="F316" s="134"/>
      <c r="G316" s="134"/>
      <c r="H316" s="134"/>
      <c r="I316" s="134"/>
      <c r="J316" s="134"/>
      <c r="K316" s="134"/>
    </row>
    <row r="317" spans="1:13" outlineLevel="1">
      <c r="A317" s="133" t="str">
        <f ca="1">OFFSET(Язык!$A$480,0,LANGUAGE)</f>
        <v xml:space="preserve"> = ИТОГО ПАССИВОВ</v>
      </c>
      <c r="B317" s="154" t="str">
        <f ca="1">IF(COUNTIF(F318:K318,1)&gt;0,"Не сходится!","")</f>
        <v/>
      </c>
      <c r="C317" s="132">
        <f>CUR_Report</f>
        <v>0</v>
      </c>
      <c r="D317" s="1" t="s">
        <v>1736</v>
      </c>
      <c r="E317" s="166"/>
      <c r="F317" s="226">
        <f t="shared" ref="F317:J317" ca="1" si="44">F303+F305+F315</f>
        <v>0</v>
      </c>
      <c r="G317" s="226">
        <f t="shared" ca="1" si="44"/>
        <v>3469277.8660714286</v>
      </c>
      <c r="H317" s="226">
        <f t="shared" ca="1" si="44"/>
        <v>3364135.5470982147</v>
      </c>
      <c r="I317" s="226">
        <f t="shared" ca="1" si="44"/>
        <v>3103520.5977232158</v>
      </c>
      <c r="J317" s="226">
        <f t="shared" ca="1" si="44"/>
        <v>3111613.5862767883</v>
      </c>
      <c r="K317" s="226">
        <f t="shared" ref="K317" ca="1" si="45">K303+K305+K315</f>
        <v>4332168.1510517895</v>
      </c>
    </row>
    <row r="318" spans="1:13" outlineLevel="1">
      <c r="A318" s="167" t="str">
        <f ca="1">OFFSET(Язык!$A$481,0,LANGUAGE)</f>
        <v>Контроль сходимости баланса</v>
      </c>
      <c r="B318" s="165"/>
      <c r="C318" s="165"/>
      <c r="D318" s="1" t="s">
        <v>1736</v>
      </c>
      <c r="E318" s="165"/>
      <c r="F318" s="69">
        <f t="shared" ref="F318:J318" ca="1" si="46">IF(ABS(F317-F284)&gt;1,1,0)</f>
        <v>0</v>
      </c>
      <c r="G318" s="69">
        <f t="shared" ca="1" si="46"/>
        <v>0</v>
      </c>
      <c r="H318" s="69">
        <f t="shared" ca="1" si="46"/>
        <v>0</v>
      </c>
      <c r="I318" s="69">
        <f t="shared" ca="1" si="46"/>
        <v>0</v>
      </c>
      <c r="J318" s="69">
        <f t="shared" ca="1" si="46"/>
        <v>0</v>
      </c>
      <c r="K318" s="69">
        <f t="shared" ref="K318" ca="1" si="47">IF(ABS(K317-K284)&gt;1,1,0)</f>
        <v>0</v>
      </c>
      <c r="L318" s="165"/>
    </row>
    <row r="319" spans="1:13" outlineLevel="1"/>
    <row r="320" spans="1:13" s="2" customFormat="1" outlineLevel="1" collapsed="1">
      <c r="A320" s="37" t="str">
        <f ca="1">OFFSET(Язык!$A$482,0,LANGUAGE)</f>
        <v>График: Текущие активы</v>
      </c>
      <c r="B320" s="76"/>
      <c r="C320" s="6"/>
    </row>
    <row r="321" spans="2:3" s="2" customFormat="1" hidden="1" outlineLevel="2">
      <c r="B321" s="76"/>
      <c r="C321" s="6"/>
    </row>
    <row r="322" spans="2:3" s="2" customFormat="1" hidden="1" outlineLevel="2">
      <c r="B322" s="76"/>
      <c r="C322" s="6"/>
    </row>
    <row r="323" spans="2:3" s="2" customFormat="1" hidden="1" outlineLevel="2">
      <c r="B323" s="76"/>
      <c r="C323" s="6"/>
    </row>
    <row r="324" spans="2:3" s="2" customFormat="1" hidden="1" outlineLevel="2">
      <c r="B324" s="76"/>
      <c r="C324" s="6"/>
    </row>
    <row r="325" spans="2:3" s="2" customFormat="1" hidden="1" outlineLevel="2">
      <c r="B325" s="76"/>
      <c r="C325" s="6"/>
    </row>
    <row r="326" spans="2:3" s="2" customFormat="1" hidden="1" outlineLevel="2">
      <c r="B326" s="76"/>
      <c r="C326" s="6"/>
    </row>
    <row r="327" spans="2:3" s="2" customFormat="1" hidden="1" outlineLevel="2">
      <c r="B327" s="76"/>
      <c r="C327" s="6"/>
    </row>
    <row r="328" spans="2:3" s="2" customFormat="1" hidden="1" outlineLevel="2">
      <c r="B328" s="76"/>
      <c r="C328" s="6"/>
    </row>
    <row r="329" spans="2:3" s="2" customFormat="1" hidden="1" outlineLevel="2">
      <c r="B329" s="76"/>
      <c r="C329" s="6"/>
    </row>
    <row r="330" spans="2:3" s="2" customFormat="1" hidden="1" outlineLevel="2">
      <c r="B330" s="76"/>
      <c r="C330" s="6"/>
    </row>
    <row r="331" spans="2:3" s="2" customFormat="1" hidden="1" outlineLevel="2">
      <c r="B331" s="76"/>
      <c r="C331" s="6"/>
    </row>
    <row r="332" spans="2:3" s="2" customFormat="1" hidden="1" outlineLevel="2">
      <c r="B332" s="76"/>
      <c r="C332" s="6"/>
    </row>
    <row r="333" spans="2:3" s="2" customFormat="1" hidden="1" outlineLevel="2">
      <c r="B333" s="76"/>
      <c r="C333" s="6"/>
    </row>
    <row r="334" spans="2:3" s="2" customFormat="1" hidden="1" outlineLevel="2">
      <c r="B334" s="76"/>
      <c r="C334" s="6"/>
    </row>
    <row r="335" spans="2:3" s="2" customFormat="1" hidden="1" outlineLevel="2">
      <c r="B335" s="76"/>
      <c r="C335" s="6"/>
    </row>
    <row r="336" spans="2:3" s="2" customFormat="1" hidden="1" outlineLevel="2">
      <c r="B336" s="76"/>
      <c r="C336" s="6"/>
    </row>
    <row r="337" spans="1:13" s="2" customFormat="1" hidden="1" outlineLevel="2">
      <c r="B337" s="76"/>
      <c r="C337" s="6"/>
    </row>
    <row r="338" spans="1:13" s="2" customFormat="1" hidden="1" outlineLevel="2">
      <c r="B338" s="76"/>
      <c r="C338" s="6"/>
    </row>
    <row r="339" spans="1:13" s="2" customFormat="1" hidden="1" outlineLevel="2">
      <c r="B339" s="76"/>
      <c r="C339" s="6"/>
    </row>
    <row r="340" spans="1:13" s="2" customFormat="1" hidden="1" outlineLevel="2">
      <c r="B340" s="76"/>
      <c r="C340" s="6"/>
    </row>
    <row r="341" spans="1:13" s="2" customFormat="1" hidden="1" outlineLevel="2">
      <c r="B341" s="76"/>
      <c r="C341" s="6"/>
    </row>
    <row r="342" spans="1:13" s="2" customFormat="1" hidden="1" outlineLevel="2">
      <c r="B342" s="76"/>
      <c r="C342" s="6"/>
    </row>
    <row r="343" spans="1:13" s="2" customFormat="1" hidden="1" outlineLevel="2">
      <c r="B343" s="76"/>
      <c r="C343" s="6"/>
    </row>
    <row r="344" spans="1:13" s="2" customFormat="1" hidden="1" outlineLevel="2">
      <c r="B344" s="76"/>
      <c r="C344" s="6"/>
    </row>
    <row r="345" spans="1:13" ht="12" outlineLevel="1" thickBot="1"/>
    <row r="346" spans="1:13" s="2" customFormat="1" ht="15.95" customHeight="1" thickTop="1" thickBot="1">
      <c r="A346" s="18" t="str">
        <f ca="1">OFFSET(Язык!$A$483,0,LANGUAGE)</f>
        <v>ПОКАЗАТЕЛИ ФИНАНСОВОЙ СОСТОЯТЕЛЬНОСТИ</v>
      </c>
      <c r="B346" s="19"/>
      <c r="C346" s="19"/>
      <c r="D346" s="18"/>
      <c r="E346" s="18"/>
      <c r="F346" s="19" t="str">
        <f t="shared" ref="F346:K346" si="48">PeriodTitle</f>
        <v>"0"</v>
      </c>
      <c r="G346" s="19">
        <f t="shared" si="48"/>
        <v>2013</v>
      </c>
      <c r="H346" s="19">
        <f t="shared" si="48"/>
        <v>2014</v>
      </c>
      <c r="I346" s="19">
        <f t="shared" si="48"/>
        <v>2015</v>
      </c>
      <c r="J346" s="19">
        <f t="shared" si="48"/>
        <v>2016</v>
      </c>
      <c r="K346" s="19">
        <f t="shared" si="48"/>
        <v>2017</v>
      </c>
      <c r="L346" s="19"/>
      <c r="M346" s="23"/>
    </row>
    <row r="347" spans="1:13" ht="12" outlineLevel="1" thickTop="1"/>
    <row r="348" spans="1:13" outlineLevel="1">
      <c r="A348" s="2" t="str">
        <f ca="1">OFFSET(Язык!$A$484,0,LANGUAGE)</f>
        <v>Рентабельность активов</v>
      </c>
      <c r="B348" s="6"/>
      <c r="C348" s="6" t="s">
        <v>385</v>
      </c>
      <c r="D348" s="1" t="s">
        <v>1746</v>
      </c>
      <c r="G348" s="93">
        <f ca="1">IF(G284&gt;0,G87/IF(Проект!G$27=1,G284,(F284+G284)/2)*360/PRJ_Step,"-")</f>
        <v>0.12723547827873535</v>
      </c>
      <c r="H348" s="93">
        <f ca="1">IF(H284&gt;0,H87/IF(Проект!H$27=1,H284,(G284+H284)/2)*360/PRJ_Step,"-")</f>
        <v>0.23081788062006944</v>
      </c>
      <c r="I348" s="93">
        <f ca="1">IF(I284&gt;0,I87/IF(Проект!I$27=1,I284,(H284+I284)/2)*360/PRJ_Step,"-")</f>
        <v>0.2107642270650355</v>
      </c>
      <c r="J348" s="93">
        <f ca="1">IF(J284&gt;0,J87/IF(Проект!J$27=1,J284,(I284+J284)/2)*360/PRJ_Step,"-")</f>
        <v>0.29393590705274675</v>
      </c>
      <c r="K348" s="93">
        <f ca="1">IF(K284&gt;0,K87/IF(Проект!K$27=1,K284,(J284+K284)/2)*360/PRJ_Step,"-")</f>
        <v>0.31076005729872486</v>
      </c>
    </row>
    <row r="349" spans="1:13" outlineLevel="1">
      <c r="A349" s="2" t="str">
        <f ca="1">OFFSET(Язык!$A$485,0,LANGUAGE)</f>
        <v>Рентабельность собственного капитала</v>
      </c>
      <c r="B349" s="6"/>
      <c r="C349" s="6" t="s">
        <v>385</v>
      </c>
      <c r="D349" s="1" t="s">
        <v>1746</v>
      </c>
      <c r="G349" s="93">
        <f ca="1">IF(G315&gt;0,G87/IF(Проект!G$27=1,G315,(F315+G315)/2)*360/PRJ_Step,"-")</f>
        <v>1</v>
      </c>
      <c r="H349" s="93">
        <f ca="1">IF(H315&gt;0,H87/IF(Проект!H$27=1,H315,(G315+H315)/2)*360/PRJ_Step,"-")</f>
        <v>0.94364625168991978</v>
      </c>
      <c r="I349" s="93">
        <f ca="1">IF(I315&gt;0,I87/IF(Проект!I$27=1,I315,(H315+I315)/2)*360/PRJ_Step,"-")</f>
        <v>0.43389226918684282</v>
      </c>
      <c r="J349" s="93">
        <f ca="1">IF(J315&gt;0,J87/IF(Проект!J$27=1,J315,(I315+J315)/2)*360/PRJ_Step,"-")</f>
        <v>0.38568171975321253</v>
      </c>
      <c r="K349" s="93">
        <f ca="1">IF(K315&gt;0,K87/IF(Проект!K$27=1,K315,(J315+K315)/2)*360/PRJ_Step,"-")</f>
        <v>0.33984498482199288</v>
      </c>
    </row>
    <row r="350" spans="1:13" outlineLevel="1">
      <c r="A350" s="2" t="str">
        <f ca="1">OFFSET(Язык!$A$486,0,LANGUAGE)</f>
        <v>Рентабельность постоянных активов</v>
      </c>
      <c r="B350" s="6"/>
      <c r="C350" s="6" t="s">
        <v>385</v>
      </c>
      <c r="D350" s="1" t="s">
        <v>1746</v>
      </c>
      <c r="G350" s="93">
        <f ca="1">IF(G282&gt;0,G87/IF(Проект!G$27=1,G282,(F282+G282)/2)*360/PRJ_Step,"-")</f>
        <v>0.17012562147281488</v>
      </c>
      <c r="H350" s="93">
        <f ca="1">IF(H282&gt;0,H87/IF(Проект!H$27=1,H282,(G282+H282)/2)*360/PRJ_Step,"-")</f>
        <v>0.32281704655367927</v>
      </c>
      <c r="I350" s="93">
        <f ca="1">IF(I282&gt;0,I87/IF(Проект!I$27=1,I282,(H282+I282)/2)*360/PRJ_Step,"-")</f>
        <v>0.3185426252369416</v>
      </c>
      <c r="J350" s="93">
        <f ca="1">IF(J282&gt;0,J87/IF(Проект!J$27=1,J282,(I282+J282)/2)*360/PRJ_Step,"-")</f>
        <v>0.49741352675398304</v>
      </c>
      <c r="K350" s="93">
        <f ca="1">IF(K282&gt;0,K87/IF(Проект!K$27=1,K282,(J282+K282)/2)*360/PRJ_Step,"-")</f>
        <v>0.75446168206907782</v>
      </c>
    </row>
    <row r="351" spans="1:13" outlineLevel="1">
      <c r="A351" s="2" t="str">
        <f ca="1">OFFSET(Язык!$A$487,0,LANGUAGE)</f>
        <v>Текущие затраты к выручке от реализации</v>
      </c>
      <c r="B351" s="6"/>
      <c r="C351" s="6" t="s">
        <v>385</v>
      </c>
      <c r="D351" s="1" t="s">
        <v>1746</v>
      </c>
      <c r="G351" s="93">
        <f t="shared" ref="G351:J351" ca="1" si="49">IF(G49&gt;0,G51/G49,"-")</f>
        <v>0.61961633952254636</v>
      </c>
      <c r="H351" s="93">
        <f t="shared" ca="1" si="49"/>
        <v>0.64758428922290989</v>
      </c>
      <c r="I351" s="93">
        <f t="shared" ca="1" si="49"/>
        <v>0.71842992438653863</v>
      </c>
      <c r="J351" s="93">
        <f t="shared" ca="1" si="49"/>
        <v>0.71341503279427454</v>
      </c>
      <c r="K351" s="93">
        <f t="shared" ref="K351" ca="1" si="50">IF(K49&gt;0,K51/K49,"-")</f>
        <v>0.70885604043767092</v>
      </c>
    </row>
    <row r="352" spans="1:13" outlineLevel="1">
      <c r="A352" s="2" t="str">
        <f ca="1">OFFSET(Язык!$A$488,0,LANGUAGE)</f>
        <v>Прибыльность продаж</v>
      </c>
      <c r="B352" s="6"/>
      <c r="C352" s="6" t="s">
        <v>385</v>
      </c>
      <c r="D352" s="1" t="s">
        <v>1746</v>
      </c>
      <c r="G352" s="93">
        <f t="shared" ref="G352:J352" ca="1" si="51">IF(G49&gt;0,G87/G49,"-")</f>
        <v>0.19427647352392183</v>
      </c>
      <c r="H352" s="93">
        <f t="shared" ca="1" si="51"/>
        <v>0.15777106892086207</v>
      </c>
      <c r="I352" s="93">
        <f t="shared" ca="1" si="51"/>
        <v>0.12395708666765733</v>
      </c>
      <c r="J352" s="93">
        <f t="shared" ca="1" si="51"/>
        <v>0.15102123058765762</v>
      </c>
      <c r="K352" s="93">
        <f t="shared" ref="K352" ca="1" si="52">IF(K49&gt;0,K87/K49,"-")</f>
        <v>0.17384451431303721</v>
      </c>
    </row>
    <row r="353" spans="1:11" outlineLevel="1">
      <c r="A353" s="2"/>
      <c r="B353" s="6"/>
      <c r="C353" s="6"/>
      <c r="G353" s="6"/>
    </row>
    <row r="354" spans="1:11" outlineLevel="1">
      <c r="A354" s="2" t="str">
        <f ca="1">OFFSET(Язык!$A$489,0,LANGUAGE)</f>
        <v xml:space="preserve">Рентабельность по балансовой прибыли </v>
      </c>
      <c r="B354" s="6"/>
      <c r="C354" s="6" t="s">
        <v>385</v>
      </c>
      <c r="D354" s="1" t="s">
        <v>1746</v>
      </c>
      <c r="G354" s="70">
        <f t="shared" ref="G354:J354" ca="1" si="53">IF(G51&gt;0,G83/G51,"-")</f>
        <v>0.39192896703148622</v>
      </c>
      <c r="H354" s="70">
        <f t="shared" ca="1" si="53"/>
        <v>0.30453770950455089</v>
      </c>
      <c r="I354" s="70">
        <f t="shared" ca="1" si="53"/>
        <v>0.21567358635134673</v>
      </c>
      <c r="J354" s="70">
        <f t="shared" ca="1" si="53"/>
        <v>0.26460970060468153</v>
      </c>
      <c r="K354" s="70">
        <f t="shared" ref="K354" ca="1" si="54">IF(K51&gt;0,K83/K51,"-")</f>
        <v>0.30655821562460678</v>
      </c>
    </row>
    <row r="355" spans="1:11" outlineLevel="1">
      <c r="A355" s="2" t="str">
        <f ca="1">OFFSET(Язык!$A$490,0,LANGUAGE)</f>
        <v xml:space="preserve">Рентабельность по чистой прибыли </v>
      </c>
      <c r="B355" s="6"/>
      <c r="C355" s="6" t="s">
        <v>385</v>
      </c>
      <c r="D355" s="1" t="s">
        <v>1746</v>
      </c>
      <c r="G355" s="70">
        <f t="shared" ref="G355:J355" ca="1" si="55">IF(G51&gt;0,G87/G51,"-")</f>
        <v>0.31354317362518896</v>
      </c>
      <c r="H355" s="70">
        <f t="shared" ca="1" si="55"/>
        <v>0.2436301676036407</v>
      </c>
      <c r="I355" s="70">
        <f t="shared" ca="1" si="55"/>
        <v>0.17253886908107738</v>
      </c>
      <c r="J355" s="70">
        <f t="shared" ca="1" si="55"/>
        <v>0.21168776048374524</v>
      </c>
      <c r="K355" s="70">
        <f t="shared" ref="K355" ca="1" si="56">IF(K51&gt;0,K87/K51,"-")</f>
        <v>0.24524657249968543</v>
      </c>
    </row>
    <row r="356" spans="1:11" outlineLevel="1">
      <c r="A356" s="2"/>
      <c r="B356" s="6"/>
      <c r="C356" s="6"/>
      <c r="D356" s="1" t="s">
        <v>1746</v>
      </c>
      <c r="G356" s="6"/>
    </row>
    <row r="357" spans="1:11" outlineLevel="1">
      <c r="A357" s="2" t="str">
        <f ca="1">OFFSET(Язык!$A$491,0,LANGUAGE)</f>
        <v>Оборачиваемость активов</v>
      </c>
      <c r="B357" s="6"/>
      <c r="C357" s="6" t="str">
        <f ca="1">OFFSET(Язык!$A$508,0,LANGUAGE)</f>
        <v>разы</v>
      </c>
      <c r="D357" s="1" t="s">
        <v>1746</v>
      </c>
      <c r="G357" s="94">
        <f ca="1">IF(AND(G284&gt;0,G49&gt;0),G49/IF(Проект!G$27=1,G284,(F284+G284)/2)*360/PRJ_Step,"-")</f>
        <v>0.65491964091611177</v>
      </c>
      <c r="H357" s="94">
        <f ca="1">IF(AND(H284&gt;0,H49&gt;0),H49/IF(Проект!H$27=1,H284,(G284+H284)/2)*360/PRJ_Step,"-")</f>
        <v>1.462992437072526</v>
      </c>
      <c r="I357" s="94">
        <f ca="1">IF(AND(I284&gt;0,I49&gt;0),I49/IF(Проект!I$27=1,I284,(H284+I284)/2)*360/PRJ_Step,"-")</f>
        <v>1.7002999403343326</v>
      </c>
      <c r="J357" s="94">
        <f ca="1">IF(AND(J284&gt;0,J49&gt;0),J49/IF(Проект!J$27=1,J284,(I284+J284)/2)*360/PRJ_Step,"-")</f>
        <v>1.9463217582652181</v>
      </c>
      <c r="K357" s="94">
        <f ca="1">IF(AND(K284&gt;0,K49&gt;0),K49/IF(Проект!K$27=1,K284,(J284+K284)/2)*360/PRJ_Step,"-")</f>
        <v>1.7875747102330044</v>
      </c>
    </row>
    <row r="358" spans="1:11" outlineLevel="1">
      <c r="A358" s="2" t="str">
        <f ca="1">OFFSET(Язык!$A$492,0,LANGUAGE)</f>
        <v>Оборачиваемость собственного капитала</v>
      </c>
      <c r="B358" s="6"/>
      <c r="C358" s="6" t="str">
        <f ca="1">OFFSET(Язык!$A$508,0,LANGUAGE)</f>
        <v>разы</v>
      </c>
      <c r="D358" s="1" t="s">
        <v>1746</v>
      </c>
      <c r="G358" s="94">
        <f ca="1">IF(AND(G315&gt;0,G49&gt;0),G49/IF(Проект!G$27=1,G315,(F315+G315)/2)*360/PRJ_Step,"-")</f>
        <v>5.1473036434175707</v>
      </c>
      <c r="H358" s="94">
        <f ca="1">IF(AND(H315&gt;0,H49&gt;0),H49/IF(Проект!H$27=1,H315,(G315+H315)/2)*360/PRJ_Step,"-")</f>
        <v>5.9811108471557128</v>
      </c>
      <c r="I358" s="94">
        <f ca="1">IF(AND(I315&gt;0,I49&gt;0),I49/IF(Проект!I$27=1,I315,(H315+I315)/2)*360/PRJ_Step,"-")</f>
        <v>3.5003425850928234</v>
      </c>
      <c r="J358" s="94">
        <f ca="1">IF(AND(J315&gt;0,J49&gt;0),J49/IF(Проект!J$27=1,J315,(I315+J315)/2)*360/PRJ_Step,"-")</f>
        <v>2.553824507007644</v>
      </c>
      <c r="K358" s="94">
        <f ca="1">IF(AND(K315&gt;0,K49&gt;0),K49/IF(Проект!K$27=1,K315,(J315+K315)/2)*360/PRJ_Step,"-")</f>
        <v>1.9548789685134558</v>
      </c>
    </row>
    <row r="359" spans="1:11" outlineLevel="1">
      <c r="A359" s="2" t="str">
        <f ca="1">OFFSET(Язык!$A$493,0,LANGUAGE)</f>
        <v>Оборачиваемость постоянных активов</v>
      </c>
      <c r="B359" s="6"/>
      <c r="C359" s="6" t="str">
        <f ca="1">OFFSET(Язык!$A$508,0,LANGUAGE)</f>
        <v>разы</v>
      </c>
      <c r="D359" s="1" t="s">
        <v>1746</v>
      </c>
      <c r="G359" s="94">
        <f ca="1">IF(AND(G282&gt;0,G49&gt;0),G49/IF(Проект!G$27=1,G282,(F282+G282)/2)*360/PRJ_Step,"-")</f>
        <v>0.87568823124569861</v>
      </c>
      <c r="H359" s="94">
        <f ca="1">IF(AND(H282&gt;0,H49&gt;0),H49/IF(Проект!H$27=1,H282,(G282+H282)/2)*360/PRJ_Step,"-")</f>
        <v>2.0461105370060224</v>
      </c>
      <c r="I359" s="94">
        <f ca="1">IF(AND(I282&gt;0,I49&gt;0),I49/IF(Проект!I$27=1,I282,(H282+I282)/2)*360/PRJ_Step,"-")</f>
        <v>2.5697814768024494</v>
      </c>
      <c r="J359" s="94">
        <f ca="1">IF(AND(J282&gt;0,J49&gt;0),J49/IF(Проект!J$27=1,J282,(I282+J282)/2)*360/PRJ_Step,"-")</f>
        <v>3.2936662270492363</v>
      </c>
      <c r="K359" s="94">
        <f ca="1">IF(AND(K282&gt;0,K49&gt;0),K49/IF(Проект!K$27=1,K282,(J282+K282)/2)*360/PRJ_Step,"-")</f>
        <v>4.3398647639265659</v>
      </c>
    </row>
    <row r="360" spans="1:11" outlineLevel="1">
      <c r="A360" s="2"/>
      <c r="B360" s="6"/>
      <c r="C360" s="6"/>
      <c r="G360" s="6"/>
    </row>
    <row r="361" spans="1:11" outlineLevel="1">
      <c r="A361" s="2" t="str">
        <f ca="1">OFFSET(Язык!$A$494,0,LANGUAGE)</f>
        <v>Период сбора дебиторской задолженности</v>
      </c>
      <c r="B361" s="6"/>
      <c r="C361" s="6" t="str">
        <f ca="1">OFFSET(Язык!$A$23,0,LANGUAGE)</f>
        <v>дн.</v>
      </c>
      <c r="D361" s="1" t="s">
        <v>1746</v>
      </c>
      <c r="G361" s="96" t="str">
        <f ca="1">IF(AND(G254&gt;0,G49&gt;0),IF(Проект!G$27=1,G254,(F254+G254)/2)/G49*PRJ_Step,"-")</f>
        <v>-</v>
      </c>
      <c r="H361" s="96" t="str">
        <f ca="1">IF(AND(H254&gt;0,H49&gt;0),IF(Проект!H$27=1,H254,(G254+H254)/2)/H49*PRJ_Step,"-")</f>
        <v>-</v>
      </c>
      <c r="I361" s="96" t="str">
        <f ca="1">IF(AND(I254&gt;0,I49&gt;0),IF(Проект!I$27=1,I254,(H254+I254)/2)/I49*PRJ_Step,"-")</f>
        <v>-</v>
      </c>
      <c r="J361" s="96" t="str">
        <f ca="1">IF(AND(J254&gt;0,J49&gt;0),IF(Проект!J$27=1,J254,(I254+J254)/2)/J49*PRJ_Step,"-")</f>
        <v>-</v>
      </c>
      <c r="K361" s="96" t="str">
        <f ca="1">IF(AND(K254&gt;0,K49&gt;0),IF(Проект!K$27=1,K254,(J254+K254)/2)/K49*PRJ_Step,"-")</f>
        <v>-</v>
      </c>
    </row>
    <row r="362" spans="1:11" outlineLevel="1">
      <c r="A362" s="2" t="str">
        <f ca="1">OFFSET(Язык!$A$495,0,LANGUAGE)</f>
        <v>Период сбора кредиторской задолженности</v>
      </c>
      <c r="B362" s="6"/>
      <c r="C362" s="6" t="str">
        <f ca="1">OFFSET(Язык!$A$23,0,LANGUAGE)</f>
        <v>дн.</v>
      </c>
      <c r="D362" s="1" t="s">
        <v>1746</v>
      </c>
      <c r="G362" s="96" t="str">
        <f ca="1">IF(AND(G286&gt;0,G51&gt;0),IF(Проект!G$27=1,G286,(F286+G286)/2)/G51*PRJ_Step,"-")</f>
        <v>-</v>
      </c>
      <c r="H362" s="96" t="str">
        <f ca="1">IF(AND(H286&gt;0,H51&gt;0),IF(Проект!H$27=1,H286,(G286+H286)/2)/H51*PRJ_Step,"-")</f>
        <v>-</v>
      </c>
      <c r="I362" s="96" t="str">
        <f ca="1">IF(AND(I286&gt;0,I51&gt;0),IF(Проект!I$27=1,I286,(H286+I286)/2)/I51*PRJ_Step,"-")</f>
        <v>-</v>
      </c>
      <c r="J362" s="96" t="str">
        <f ca="1">IF(AND(J286&gt;0,J51&gt;0),IF(Проект!J$27=1,J286,(I286+J286)/2)/J51*PRJ_Step,"-")</f>
        <v>-</v>
      </c>
      <c r="K362" s="96" t="str">
        <f ca="1">IF(AND(K286&gt;0,K51&gt;0),IF(Проект!K$27=1,K286,(J286+K286)/2)/K51*PRJ_Step,"-")</f>
        <v>-</v>
      </c>
    </row>
    <row r="363" spans="1:11" outlineLevel="1">
      <c r="A363" s="2"/>
      <c r="B363" s="6"/>
      <c r="C363" s="6"/>
      <c r="G363" s="6"/>
    </row>
    <row r="364" spans="1:11" outlineLevel="1">
      <c r="A364" s="2" t="str">
        <f ca="1">OFFSET(Язык!$A$496,0,LANGUAGE)</f>
        <v>Коэффициент общей ликвидности</v>
      </c>
      <c r="B364" s="6"/>
      <c r="C364" s="6" t="str">
        <f ca="1">OFFSET(Язык!$A$508,0,LANGUAGE)</f>
        <v>разы</v>
      </c>
      <c r="D364" s="1" t="s">
        <v>1746</v>
      </c>
      <c r="G364" s="94">
        <f t="shared" ref="G364:J364" ca="1" si="57">IF(G303&gt;0,G271/G303,"-")</f>
        <v>7.1772204087456348</v>
      </c>
      <c r="H364" s="94">
        <f t="shared" ca="1" si="57"/>
        <v>5.4159515606284518</v>
      </c>
      <c r="I364" s="94">
        <f t="shared" ca="1" si="57"/>
        <v>4.9382282917279987</v>
      </c>
      <c r="J364" s="94">
        <f t="shared" ca="1" si="57"/>
        <v>4.979477171334783</v>
      </c>
      <c r="K364" s="94">
        <f t="shared" ref="K364" ca="1" si="58">IF(K303&gt;0,K271/K303,"-")</f>
        <v>8.4188088740467091</v>
      </c>
    </row>
    <row r="365" spans="1:11" outlineLevel="1">
      <c r="A365" s="2" t="str">
        <f ca="1">OFFSET(Язык!$A$497,0,LANGUAGE)</f>
        <v>Коэффициент срочной ликвидности</v>
      </c>
      <c r="B365" s="6"/>
      <c r="C365" s="6" t="str">
        <f ca="1">OFFSET(Язык!$A$508,0,LANGUAGE)</f>
        <v>разы</v>
      </c>
      <c r="D365" s="1" t="s">
        <v>1746</v>
      </c>
      <c r="G365" s="94">
        <f t="shared" ref="G365:J365" ca="1" si="59">IF(G303&gt;0,(G252+G254+G258)/G303,"-")</f>
        <v>4.6222359668805657</v>
      </c>
      <c r="H365" s="94">
        <f t="shared" ca="1" si="59"/>
        <v>5.4159515606284518</v>
      </c>
      <c r="I365" s="94">
        <f t="shared" ca="1" si="59"/>
        <v>4.9382282917279987</v>
      </c>
      <c r="J365" s="94">
        <f t="shared" ca="1" si="59"/>
        <v>4.979477171334783</v>
      </c>
      <c r="K365" s="94">
        <f t="shared" ref="K365" ca="1" si="60">IF(K303&gt;0,(K252+K254+K258)/K303,"-")</f>
        <v>8.4188088740467091</v>
      </c>
    </row>
    <row r="366" spans="1:11" outlineLevel="1">
      <c r="A366" s="2" t="str">
        <f ca="1">OFFSET(Язык!$A$498,0,LANGUAGE)</f>
        <v>Коэффициент абсолютной ликвидности</v>
      </c>
      <c r="B366" s="6"/>
      <c r="C366" s="6" t="str">
        <f ca="1">OFFSET(Язык!$A$508,0,LANGUAGE)</f>
        <v>разы</v>
      </c>
      <c r="D366" s="1" t="s">
        <v>1746</v>
      </c>
      <c r="G366" s="94">
        <f t="shared" ref="G366:J366" ca="1" si="61">IF(G303&gt;0,G252/G303,"-")</f>
        <v>4.6222359668805657</v>
      </c>
      <c r="H366" s="94">
        <f t="shared" ca="1" si="61"/>
        <v>5.4159515606284518</v>
      </c>
      <c r="I366" s="94">
        <f t="shared" ca="1" si="61"/>
        <v>4.9382282917279987</v>
      </c>
      <c r="J366" s="94">
        <f t="shared" ca="1" si="61"/>
        <v>4.979477171334783</v>
      </c>
      <c r="K366" s="94">
        <f t="shared" ref="K366" ca="1" si="62">IF(K303&gt;0,K252/K303,"-")</f>
        <v>8.4188088740467091</v>
      </c>
    </row>
    <row r="367" spans="1:11" outlineLevel="1">
      <c r="A367" s="2" t="str">
        <f ca="1">OFFSET(Язык!$A$499,0,LANGUAGE)</f>
        <v>Чистый оборотный капитал</v>
      </c>
      <c r="B367" s="6"/>
      <c r="C367" s="6">
        <f>CUR_Report</f>
        <v>0</v>
      </c>
      <c r="D367" s="1" t="s">
        <v>1746</v>
      </c>
      <c r="G367" s="95">
        <f t="shared" ref="G367:J367" ca="1" si="63">G271-G303</f>
        <v>752772.37142857118</v>
      </c>
      <c r="H367" s="95">
        <f t="shared" ca="1" si="63"/>
        <v>874726.33642857149</v>
      </c>
      <c r="I367" s="95">
        <f t="shared" ca="1" si="63"/>
        <v>889618.57485714369</v>
      </c>
      <c r="J367" s="95">
        <f t="shared" ca="1" si="63"/>
        <v>1140361.0910571448</v>
      </c>
      <c r="K367" s="95">
        <f t="shared" ref="K367" ca="1" si="64">K271-K303</f>
        <v>2600293.0749485749</v>
      </c>
    </row>
    <row r="368" spans="1:11" outlineLevel="1">
      <c r="A368" s="2"/>
      <c r="B368" s="6"/>
      <c r="C368" s="6"/>
      <c r="G368" s="6"/>
    </row>
    <row r="369" spans="1:12" outlineLevel="1">
      <c r="A369" s="2" t="str">
        <f ca="1">OFFSET(Язык!$A$500,0,LANGUAGE)</f>
        <v>Коэффициент общей платежеспособности</v>
      </c>
      <c r="B369" s="6"/>
      <c r="C369" s="6" t="str">
        <f ca="1">OFFSET(Язык!$A$508,0,LANGUAGE)</f>
        <v>разы</v>
      </c>
      <c r="D369" s="1" t="s">
        <v>1746</v>
      </c>
      <c r="G369" s="94">
        <f t="shared" ref="G369:J369" ca="1" si="65">IF(G317&gt;0,G315/G317,"-")</f>
        <v>0.12723547827873535</v>
      </c>
      <c r="H369" s="94">
        <f t="shared" ca="1" si="65"/>
        <v>0.36563694062408231</v>
      </c>
      <c r="I369" s="94">
        <f t="shared" ca="1" si="65"/>
        <v>0.61595450819013997</v>
      </c>
      <c r="J369" s="94">
        <f t="shared" ca="1" si="65"/>
        <v>0.90790613198317671</v>
      </c>
      <c r="K369" s="94">
        <f t="shared" ref="K369" ca="1" si="66">IF(K317&gt;0,K315/K317,"-")</f>
        <v>0.91909361227861897</v>
      </c>
    </row>
    <row r="370" spans="1:12" outlineLevel="1">
      <c r="A370" s="2" t="str">
        <f ca="1">OFFSET(Язык!$A$501,0,LANGUAGE)</f>
        <v>Коэффициент автономии</v>
      </c>
      <c r="B370" s="6"/>
      <c r="C370" s="6" t="str">
        <f ca="1">OFFSET(Язык!$A$508,0,LANGUAGE)</f>
        <v>разы</v>
      </c>
      <c r="D370" s="1" t="s">
        <v>1746</v>
      </c>
      <c r="G370" s="94">
        <f t="shared" ref="G370:J370" ca="1" si="67">IF((G303+G305)&gt;0,G315/(G303+G305),"-")</f>
        <v>0.14578442994887297</v>
      </c>
      <c r="H370" s="94">
        <f t="shared" ca="1" si="67"/>
        <v>0.57638435154750911</v>
      </c>
      <c r="I370" s="94">
        <f t="shared" ca="1" si="67"/>
        <v>1.6038581921307842</v>
      </c>
      <c r="J370" s="94">
        <f t="shared" ca="1" si="67"/>
        <v>9.8584862546692484</v>
      </c>
      <c r="K370" s="94">
        <f t="shared" ref="K370" ca="1" si="68">IF((K303+K305)&gt;0,K315/(K303+K305),"-")</f>
        <v>11.359963510467432</v>
      </c>
    </row>
    <row r="371" spans="1:12" outlineLevel="1">
      <c r="A371" s="2" t="str">
        <f ca="1">OFFSET(Язык!$A$502,0,LANGUAGE)</f>
        <v>Доля долгосрочных кредитов в валюте баланса</v>
      </c>
      <c r="B371" s="6"/>
      <c r="C371" s="6" t="s">
        <v>385</v>
      </c>
      <c r="D371" s="1" t="s">
        <v>1746</v>
      </c>
      <c r="G371" s="70">
        <f t="shared" ref="G371:J371" ca="1" si="69">IF(G317&gt;0,G305/G317,"-")</f>
        <v>0.83763829597504158</v>
      </c>
      <c r="H371" s="70">
        <f t="shared" ca="1" si="69"/>
        <v>0.5754821626227058</v>
      </c>
      <c r="I371" s="70">
        <f t="shared" ca="1" si="69"/>
        <v>0.31125941316731409</v>
      </c>
      <c r="J371" s="70">
        <f t="shared" ca="1" si="69"/>
        <v>0</v>
      </c>
      <c r="K371" s="70">
        <f t="shared" ref="K371" ca="1" si="70">IF(K317&gt;0,K305/K317,"-")</f>
        <v>0</v>
      </c>
    </row>
    <row r="372" spans="1:12" outlineLevel="1">
      <c r="A372" s="2" t="str">
        <f ca="1">OFFSET(Язык!$A$503,0,LANGUAGE)</f>
        <v>Общий коэффициент покрытия долга</v>
      </c>
      <c r="B372" s="6"/>
      <c r="C372" s="6" t="str">
        <f ca="1">OFFSET(Язык!$A$508,0,LANGUAGE)</f>
        <v>разы</v>
      </c>
      <c r="D372" s="1" t="s">
        <v>1746</v>
      </c>
      <c r="G372" s="94" t="str">
        <f t="shared" ref="G372:J372" ca="1" si="71">IF((-G187-G159)&gt;0,(G196-G187-G159)/(-G187-G159),"-")</f>
        <v>-</v>
      </c>
      <c r="H372" s="94">
        <f t="shared" ca="1" si="71"/>
        <v>1.3453698451629001</v>
      </c>
      <c r="I372" s="94">
        <f t="shared" ca="1" si="71"/>
        <v>1.022088898665316</v>
      </c>
      <c r="J372" s="94">
        <f t="shared" ca="1" si="71"/>
        <v>1.2749232655162042</v>
      </c>
      <c r="K372" s="94" t="str">
        <f t="shared" ref="K372" ca="1" si="72">IF((-K187-K159)&gt;0,(K196-K187-K159)/(-K187-K159),"-")</f>
        <v>-</v>
      </c>
    </row>
    <row r="373" spans="1:12" outlineLevel="1">
      <c r="A373" s="11" t="str">
        <f ca="1">OFFSET(Язык!$A$504,0,LANGUAGE)</f>
        <v>Покрытие процентов по кредитам</v>
      </c>
      <c r="B373" s="12"/>
      <c r="C373" s="12" t="str">
        <f ca="1">OFFSET(Язык!$A$508,0,LANGUAGE)</f>
        <v>разы</v>
      </c>
      <c r="D373" s="166" t="s">
        <v>1746</v>
      </c>
      <c r="E373" s="166"/>
      <c r="F373" s="166"/>
      <c r="G373" s="168" t="str">
        <f t="shared" ref="G373:J373" ca="1" si="73">IF(G75&gt;0,(G83+G75)/G75,"-")</f>
        <v>-</v>
      </c>
      <c r="H373" s="168">
        <f t="shared" ca="1" si="73"/>
        <v>3.4230563634177007</v>
      </c>
      <c r="I373" s="168">
        <f t="shared" ca="1" si="73"/>
        <v>4.1433334293040591</v>
      </c>
      <c r="J373" s="168">
        <f t="shared" ca="1" si="73"/>
        <v>9.4426348705476073</v>
      </c>
      <c r="K373" s="168" t="str">
        <f t="shared" ref="K373" ca="1" si="74">IF(K75&gt;0,(K83+K75)/K75,"-")</f>
        <v>-</v>
      </c>
    </row>
    <row r="374" spans="1:12" outlineLevel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</row>
    <row r="375" spans="1:12" s="2" customFormat="1" outlineLevel="1" collapsed="1">
      <c r="A375" s="37" t="str">
        <f ca="1">OFFSET(Язык!$A$505,0,LANGUAGE)</f>
        <v>График: Ликвидность</v>
      </c>
      <c r="B375" s="76"/>
      <c r="C375" s="6"/>
    </row>
    <row r="376" spans="1:12" s="2" customFormat="1" hidden="1" outlineLevel="2">
      <c r="B376" s="76"/>
      <c r="C376" s="6"/>
    </row>
    <row r="377" spans="1:12" s="2" customFormat="1" hidden="1" outlineLevel="2">
      <c r="B377" s="76"/>
      <c r="C377" s="6"/>
    </row>
    <row r="378" spans="1:12" s="2" customFormat="1" hidden="1" outlineLevel="2">
      <c r="B378" s="76"/>
      <c r="C378" s="6"/>
    </row>
    <row r="379" spans="1:12" s="2" customFormat="1" hidden="1" outlineLevel="2">
      <c r="B379" s="76"/>
      <c r="C379" s="6"/>
    </row>
    <row r="380" spans="1:12" s="2" customFormat="1" hidden="1" outlineLevel="2">
      <c r="B380" s="76"/>
      <c r="C380" s="6"/>
    </row>
    <row r="381" spans="1:12" s="2" customFormat="1" hidden="1" outlineLevel="2">
      <c r="B381" s="76"/>
      <c r="C381" s="6"/>
    </row>
    <row r="382" spans="1:12" s="2" customFormat="1" hidden="1" outlineLevel="2">
      <c r="B382" s="76"/>
      <c r="C382" s="6"/>
    </row>
    <row r="383" spans="1:12" s="2" customFormat="1" hidden="1" outlineLevel="2">
      <c r="B383" s="76"/>
      <c r="C383" s="6"/>
    </row>
    <row r="384" spans="1:12" s="2" customFormat="1" hidden="1" outlineLevel="2">
      <c r="B384" s="76"/>
      <c r="C384" s="6"/>
    </row>
    <row r="385" spans="1:3" s="2" customFormat="1" hidden="1" outlineLevel="2">
      <c r="B385" s="76"/>
      <c r="C385" s="6"/>
    </row>
    <row r="386" spans="1:3" s="2" customFormat="1" hidden="1" outlineLevel="2">
      <c r="B386" s="76"/>
      <c r="C386" s="6"/>
    </row>
    <row r="387" spans="1:3" s="2" customFormat="1" hidden="1" outlineLevel="2">
      <c r="B387" s="76"/>
      <c r="C387" s="6"/>
    </row>
    <row r="388" spans="1:3" s="2" customFormat="1" hidden="1" outlineLevel="2">
      <c r="B388" s="76"/>
      <c r="C388" s="6"/>
    </row>
    <row r="389" spans="1:3" s="2" customFormat="1" hidden="1" outlineLevel="2">
      <c r="B389" s="76"/>
      <c r="C389" s="6"/>
    </row>
    <row r="390" spans="1:3" s="2" customFormat="1" hidden="1" outlineLevel="2">
      <c r="B390" s="76"/>
      <c r="C390" s="6"/>
    </row>
    <row r="391" spans="1:3" s="2" customFormat="1" hidden="1" outlineLevel="2">
      <c r="B391" s="76"/>
      <c r="C391" s="6"/>
    </row>
    <row r="392" spans="1:3" s="2" customFormat="1" hidden="1" outlineLevel="2">
      <c r="B392" s="76"/>
      <c r="C392" s="6"/>
    </row>
    <row r="393" spans="1:3" s="2" customFormat="1" hidden="1" outlineLevel="2">
      <c r="B393" s="76"/>
      <c r="C393" s="6"/>
    </row>
    <row r="394" spans="1:3" s="2" customFormat="1" hidden="1" outlineLevel="2">
      <c r="B394" s="76"/>
      <c r="C394" s="6"/>
    </row>
    <row r="395" spans="1:3" s="2" customFormat="1" hidden="1" outlineLevel="2">
      <c r="B395" s="76"/>
      <c r="C395" s="6"/>
    </row>
    <row r="396" spans="1:3" s="2" customFormat="1" hidden="1" outlineLevel="2">
      <c r="B396" s="76"/>
      <c r="C396" s="6"/>
    </row>
    <row r="397" spans="1:3" s="2" customFormat="1" hidden="1" outlineLevel="2">
      <c r="B397" s="76"/>
      <c r="C397" s="6"/>
    </row>
    <row r="398" spans="1:3" s="2" customFormat="1" hidden="1" outlineLevel="2">
      <c r="B398" s="76"/>
      <c r="C398" s="6"/>
    </row>
    <row r="399" spans="1:3" s="2" customFormat="1" outlineLevel="1">
      <c r="B399" s="6"/>
      <c r="C399" s="6"/>
    </row>
    <row r="400" spans="1:3" s="2" customFormat="1" outlineLevel="1" collapsed="1">
      <c r="A400" s="37" t="str">
        <f ca="1">OFFSET(Язык!$A$506,0,LANGUAGE)</f>
        <v>График: Рентабельность активов</v>
      </c>
      <c r="B400" s="76"/>
      <c r="C400" s="6"/>
    </row>
    <row r="401" spans="2:3" s="2" customFormat="1" hidden="1" outlineLevel="2">
      <c r="B401" s="76"/>
      <c r="C401" s="6"/>
    </row>
    <row r="402" spans="2:3" s="2" customFormat="1" hidden="1" outlineLevel="2">
      <c r="B402" s="76"/>
      <c r="C402" s="6"/>
    </row>
    <row r="403" spans="2:3" s="2" customFormat="1" hidden="1" outlineLevel="2">
      <c r="B403" s="76"/>
      <c r="C403" s="6"/>
    </row>
    <row r="404" spans="2:3" s="2" customFormat="1" hidden="1" outlineLevel="2">
      <c r="B404" s="76"/>
      <c r="C404" s="6"/>
    </row>
    <row r="405" spans="2:3" s="2" customFormat="1" hidden="1" outlineLevel="2">
      <c r="B405" s="76"/>
      <c r="C405" s="6"/>
    </row>
    <row r="406" spans="2:3" s="2" customFormat="1" hidden="1" outlineLevel="2">
      <c r="B406" s="76"/>
      <c r="C406" s="6"/>
    </row>
    <row r="407" spans="2:3" s="2" customFormat="1" hidden="1" outlineLevel="2">
      <c r="B407" s="76"/>
      <c r="C407" s="6"/>
    </row>
    <row r="408" spans="2:3" s="2" customFormat="1" hidden="1" outlineLevel="2">
      <c r="B408" s="76"/>
      <c r="C408" s="6"/>
    </row>
    <row r="409" spans="2:3" s="2" customFormat="1" hidden="1" outlineLevel="2">
      <c r="B409" s="76"/>
      <c r="C409" s="6"/>
    </row>
    <row r="410" spans="2:3" s="2" customFormat="1" hidden="1" outlineLevel="2">
      <c r="B410" s="76"/>
      <c r="C410" s="6"/>
    </row>
    <row r="411" spans="2:3" s="2" customFormat="1" hidden="1" outlineLevel="2">
      <c r="B411" s="76"/>
      <c r="C411" s="6"/>
    </row>
    <row r="412" spans="2:3" s="2" customFormat="1" hidden="1" outlineLevel="2">
      <c r="B412" s="76"/>
      <c r="C412" s="6"/>
    </row>
    <row r="413" spans="2:3" s="2" customFormat="1" hidden="1" outlineLevel="2">
      <c r="B413" s="76"/>
      <c r="C413" s="6"/>
    </row>
    <row r="414" spans="2:3" s="2" customFormat="1" hidden="1" outlineLevel="2">
      <c r="B414" s="76"/>
      <c r="C414" s="6"/>
    </row>
    <row r="415" spans="2:3" s="2" customFormat="1" hidden="1" outlineLevel="2">
      <c r="B415" s="76"/>
      <c r="C415" s="6"/>
    </row>
    <row r="416" spans="2:3" s="2" customFormat="1" hidden="1" outlineLevel="2">
      <c r="B416" s="76"/>
      <c r="C416" s="6"/>
    </row>
    <row r="417" spans="1:3" s="2" customFormat="1" hidden="1" outlineLevel="2">
      <c r="B417" s="76"/>
      <c r="C417" s="6"/>
    </row>
    <row r="418" spans="1:3" s="2" customFormat="1" hidden="1" outlineLevel="2">
      <c r="B418" s="76"/>
      <c r="C418" s="6"/>
    </row>
    <row r="419" spans="1:3" s="2" customFormat="1" hidden="1" outlineLevel="2">
      <c r="B419" s="76"/>
      <c r="C419" s="6"/>
    </row>
    <row r="420" spans="1:3" s="2" customFormat="1" hidden="1" outlineLevel="2">
      <c r="B420" s="76"/>
      <c r="C420" s="6"/>
    </row>
    <row r="421" spans="1:3" s="2" customFormat="1" hidden="1" outlineLevel="2">
      <c r="B421" s="76"/>
      <c r="C421" s="6"/>
    </row>
    <row r="422" spans="1:3" s="2" customFormat="1" hidden="1" outlineLevel="2">
      <c r="B422" s="76"/>
      <c r="C422" s="6"/>
    </row>
    <row r="423" spans="1:3" s="2" customFormat="1" hidden="1" outlineLevel="2">
      <c r="B423" s="76"/>
      <c r="C423" s="6"/>
    </row>
    <row r="424" spans="1:3" s="2" customFormat="1" outlineLevel="1">
      <c r="B424" s="6"/>
      <c r="C424" s="6"/>
    </row>
    <row r="425" spans="1:3" s="2" customFormat="1" outlineLevel="1" collapsed="1">
      <c r="A425" s="37" t="str">
        <f ca="1">OFFSET(Язык!$A$507,0,LANGUAGE)</f>
        <v>График: Чистый оборотный капитал</v>
      </c>
      <c r="B425" s="76"/>
      <c r="C425" s="6"/>
    </row>
    <row r="426" spans="1:3" s="2" customFormat="1" hidden="1" outlineLevel="2">
      <c r="B426" s="76"/>
      <c r="C426" s="6"/>
    </row>
    <row r="427" spans="1:3" s="2" customFormat="1" hidden="1" outlineLevel="2">
      <c r="B427" s="76"/>
      <c r="C427" s="6"/>
    </row>
    <row r="428" spans="1:3" s="2" customFormat="1" hidden="1" outlineLevel="2">
      <c r="B428" s="76"/>
      <c r="C428" s="6"/>
    </row>
    <row r="429" spans="1:3" s="2" customFormat="1" hidden="1" outlineLevel="2">
      <c r="B429" s="76"/>
      <c r="C429" s="6"/>
    </row>
    <row r="430" spans="1:3" s="2" customFormat="1" hidden="1" outlineLevel="2">
      <c r="B430" s="76"/>
      <c r="C430" s="6"/>
    </row>
    <row r="431" spans="1:3" s="2" customFormat="1" hidden="1" outlineLevel="2">
      <c r="B431" s="76"/>
      <c r="C431" s="6"/>
    </row>
    <row r="432" spans="1:3" s="2" customFormat="1" hidden="1" outlineLevel="2">
      <c r="B432" s="76"/>
      <c r="C432" s="6"/>
    </row>
    <row r="433" spans="2:3" s="2" customFormat="1" hidden="1" outlineLevel="2">
      <c r="B433" s="76"/>
      <c r="C433" s="6"/>
    </row>
    <row r="434" spans="2:3" s="2" customFormat="1" hidden="1" outlineLevel="2">
      <c r="B434" s="76"/>
      <c r="C434" s="6"/>
    </row>
    <row r="435" spans="2:3" s="2" customFormat="1" hidden="1" outlineLevel="2">
      <c r="B435" s="76"/>
      <c r="C435" s="6"/>
    </row>
    <row r="436" spans="2:3" s="2" customFormat="1" hidden="1" outlineLevel="2">
      <c r="B436" s="76"/>
      <c r="C436" s="6"/>
    </row>
    <row r="437" spans="2:3" s="2" customFormat="1" hidden="1" outlineLevel="2">
      <c r="B437" s="76"/>
      <c r="C437" s="6"/>
    </row>
    <row r="438" spans="2:3" s="2" customFormat="1" hidden="1" outlineLevel="2">
      <c r="B438" s="76"/>
      <c r="C438" s="6"/>
    </row>
    <row r="439" spans="2:3" s="2" customFormat="1" hidden="1" outlineLevel="2">
      <c r="B439" s="76"/>
      <c r="C439" s="6"/>
    </row>
    <row r="440" spans="2:3" s="2" customFormat="1" hidden="1" outlineLevel="2">
      <c r="B440" s="76"/>
      <c r="C440" s="6"/>
    </row>
    <row r="441" spans="2:3" s="2" customFormat="1" hidden="1" outlineLevel="2">
      <c r="B441" s="76"/>
      <c r="C441" s="6"/>
    </row>
    <row r="442" spans="2:3" s="2" customFormat="1" hidden="1" outlineLevel="2">
      <c r="B442" s="76"/>
      <c r="C442" s="6"/>
    </row>
    <row r="443" spans="2:3" s="2" customFormat="1" hidden="1" outlineLevel="2">
      <c r="B443" s="76"/>
      <c r="C443" s="6"/>
    </row>
    <row r="444" spans="2:3" s="2" customFormat="1" hidden="1" outlineLevel="2">
      <c r="B444" s="76"/>
      <c r="C444" s="6"/>
    </row>
    <row r="445" spans="2:3" s="2" customFormat="1" hidden="1" outlineLevel="2">
      <c r="B445" s="76"/>
      <c r="C445" s="6"/>
    </row>
    <row r="446" spans="2:3" s="2" customFormat="1" hidden="1" outlineLevel="2">
      <c r="B446" s="76"/>
      <c r="C446" s="6"/>
    </row>
    <row r="447" spans="2:3" s="2" customFormat="1" hidden="1" outlineLevel="2">
      <c r="B447" s="76"/>
      <c r="C447" s="6"/>
    </row>
    <row r="448" spans="2:3" s="2" customFormat="1" hidden="1" outlineLevel="2">
      <c r="B448" s="76"/>
      <c r="C448" s="6"/>
    </row>
    <row r="449" spans="1:13" outlineLevel="1"/>
    <row r="450" spans="1:13" ht="12" outlineLevel="1" thickBot="1"/>
    <row r="451" spans="1:13" s="2" customFormat="1" ht="15.95" customHeight="1" thickTop="1" thickBot="1">
      <c r="A451" s="18" t="str">
        <f ca="1">OFFSET(Язык!$A$509,0,LANGUAGE)</f>
        <v>ЭФФЕКТИВНОСТЬ ИНВЕСТИЦИЙ</v>
      </c>
      <c r="B451" s="19"/>
      <c r="C451" s="19"/>
      <c r="D451" s="18"/>
      <c r="E451" s="18"/>
      <c r="F451" s="19" t="str">
        <f t="shared" ref="F451:K451" si="75">PeriodTitle</f>
        <v>"0"</v>
      </c>
      <c r="G451" s="19">
        <f t="shared" si="75"/>
        <v>2013</v>
      </c>
      <c r="H451" s="19">
        <f t="shared" si="75"/>
        <v>2014</v>
      </c>
      <c r="I451" s="19">
        <f t="shared" si="75"/>
        <v>2015</v>
      </c>
      <c r="J451" s="19">
        <f t="shared" si="75"/>
        <v>2016</v>
      </c>
      <c r="K451" s="19">
        <f t="shared" si="75"/>
        <v>2017</v>
      </c>
      <c r="L451" s="19"/>
      <c r="M451" s="23" t="str">
        <f ca="1">OFFSET(Язык!$A$77,0,LANGUAGE)</f>
        <v>ИТОГО</v>
      </c>
    </row>
    <row r="452" spans="1:13" ht="12" outlineLevel="1" thickTop="1"/>
    <row r="453" spans="1:13" outlineLevel="1">
      <c r="A453" s="32" t="str">
        <f ca="1">OFFSET(Язык!$A$510,0,LANGUAGE)</f>
        <v>Расчет эффективности инвестиций выполнен для:</v>
      </c>
      <c r="B453" s="7">
        <v>1</v>
      </c>
      <c r="C453" s="91" t="str">
        <f ca="1">OFFSET(Язык!$A$540,B453-1,LANGUAGE)</f>
        <v>полных инвестиционных затрат</v>
      </c>
    </row>
    <row r="454" spans="1:13" outlineLevel="1">
      <c r="A454" s="47" t="str">
        <f ca="1">OFFSET(Язык!$A$850,0,LANGUAGE)</f>
        <v>Учитывать остаточную стоимость проекта</v>
      </c>
      <c r="B454" s="218">
        <v>0</v>
      </c>
      <c r="C454" s="91" t="str">
        <f ca="1">OFFSET(Язык!$A$671,B454,LANGUAGE)</f>
        <v>нет</v>
      </c>
    </row>
    <row r="455" spans="1:13" outlineLevel="1">
      <c r="A455" s="47" t="str">
        <f ca="1">OFFSET(Язык!$A$511,0,LANGUAGE)</f>
        <v>Валюта расчетов:</v>
      </c>
      <c r="B455" s="7">
        <v>1</v>
      </c>
      <c r="C455" s="6" t="str">
        <f ca="1">CHOOSE($B$455,CUR_Main,CUR_Foreign)</f>
        <v>$</v>
      </c>
    </row>
    <row r="456" spans="1:13" outlineLevel="1" collapsed="1">
      <c r="A456" s="47" t="str">
        <f ca="1">OFFSET(Язык!$A$512,0,LANGUAGE)</f>
        <v>Годовая ставка дисконтирования:</v>
      </c>
      <c r="B456" s="50">
        <v>0.2</v>
      </c>
      <c r="C456" s="6"/>
      <c r="F456" s="182">
        <f>B456</f>
        <v>0.2</v>
      </c>
      <c r="G456" s="180">
        <f t="shared" ref="G456:K456" si="76">F456</f>
        <v>0.2</v>
      </c>
      <c r="H456" s="180">
        <f t="shared" si="76"/>
        <v>0.2</v>
      </c>
      <c r="I456" s="180">
        <f t="shared" si="76"/>
        <v>0.2</v>
      </c>
      <c r="J456" s="180">
        <f t="shared" si="76"/>
        <v>0.2</v>
      </c>
      <c r="K456" s="180">
        <f t="shared" si="76"/>
        <v>0.2</v>
      </c>
    </row>
    <row r="457" spans="1:13" hidden="1" outlineLevel="2">
      <c r="A457" s="47" t="str">
        <f ca="1">OFFSET(Язык!$A$513,0,LANGUAGE)</f>
        <v xml:space="preserve">    ставка дисконтирования на расчетный период</v>
      </c>
      <c r="B457" s="76"/>
      <c r="C457" s="6"/>
      <c r="G457" s="182">
        <f t="shared" ref="G457:J457" si="77">POWER(1+G456,PRJ_Step/360)-1</f>
        <v>0.19999999999999996</v>
      </c>
      <c r="H457" s="182">
        <f t="shared" si="77"/>
        <v>0.19999999999999996</v>
      </c>
      <c r="I457" s="182">
        <f t="shared" si="77"/>
        <v>0.19999999999999996</v>
      </c>
      <c r="J457" s="182">
        <f t="shared" si="77"/>
        <v>0.19999999999999996</v>
      </c>
      <c r="K457" s="182">
        <f t="shared" ref="K457" si="78">POWER(1+K456,PRJ_Step/360)-1</f>
        <v>0.19999999999999996</v>
      </c>
    </row>
    <row r="458" spans="1:13" hidden="1" outlineLevel="2">
      <c r="A458" s="47" t="str">
        <f ca="1">OFFSET(Язык!$A$514,0,LANGUAGE)</f>
        <v xml:space="preserve">    коэффициент дисконта</v>
      </c>
      <c r="B458" s="76"/>
      <c r="C458" s="6"/>
      <c r="D458" s="1" t="s">
        <v>1746</v>
      </c>
      <c r="F458" s="140">
        <v>1</v>
      </c>
      <c r="G458" s="140">
        <f t="shared" ref="G458:K458" si="79">F458*(1+G457)</f>
        <v>1.2</v>
      </c>
      <c r="H458" s="140">
        <f t="shared" si="79"/>
        <v>1.44</v>
      </c>
      <c r="I458" s="140">
        <f t="shared" si="79"/>
        <v>1.728</v>
      </c>
      <c r="J458" s="140">
        <f t="shared" si="79"/>
        <v>2.0735999999999999</v>
      </c>
      <c r="K458" s="140">
        <f t="shared" si="79"/>
        <v>2.4883199999999999</v>
      </c>
    </row>
    <row r="459" spans="1:13" outlineLevel="1">
      <c r="A459" s="2"/>
      <c r="B459" s="6"/>
      <c r="C459" s="6"/>
    </row>
    <row r="460" spans="1:13" outlineLevel="1">
      <c r="A460" s="32" t="str">
        <f ca="1">OFFSET(Язык!$A$515,0,LANGUAGE)</f>
        <v>Учитываемые денежные потоки проекта:</v>
      </c>
      <c r="B460" s="29" t="str">
        <f ca="1">OFFSET(Язык!$A$543,0,LANGUAGE)</f>
        <v>Учитывать?</v>
      </c>
      <c r="C460" s="6"/>
    </row>
    <row r="461" spans="1:13" outlineLevel="1">
      <c r="A461" s="47" t="str">
        <f ca="1">OFFSET(Язык!$A$516,0,LANGUAGE)</f>
        <v>Денежные потоки от операционной деятельности</v>
      </c>
      <c r="B461" s="29" t="str">
        <f ca="1">IF(E461=1,OFFSET(Язык!$A$544,0,LANGUAGE),OFFSET(Язык!$A$545,0,LANGUAGE))</f>
        <v>да</v>
      </c>
      <c r="C461" s="6" t="str">
        <f ca="1">C455</f>
        <v>$</v>
      </c>
      <c r="D461" s="1" t="s">
        <v>1315</v>
      </c>
      <c r="E461" s="2">
        <v>1</v>
      </c>
      <c r="F461" s="26">
        <f ca="1">IF($E461=1,F166*IF(CUR_I_Report&lt;&gt;$B$455,IF(CUR_I_Report=2,Проект!F$98,1/Проект!F$98),1),"")</f>
        <v>0</v>
      </c>
      <c r="G461" s="26">
        <f ca="1">IF($E461=1,G166*IF(CUR_I_Report&lt;&gt;$B$455,IF(CUR_I_Report=2,Проект!G$98,1/Проект!G$98),1),"")</f>
        <v>441415.22857142857</v>
      </c>
      <c r="H461" s="26">
        <f ca="1">IF($E461=1,H166*IF(CUR_I_Report&lt;&gt;$B$455,IF(CUR_I_Report=2,Проект!H$98,1/Проект!H$98),1),"")</f>
        <v>1403311.107857143</v>
      </c>
      <c r="I461" s="26">
        <f ca="1">IF($E461=1,I166*IF(CUR_I_Report&lt;&gt;$B$455,IF(CUR_I_Report=2,Проект!I$98,1/Проект!I$98),1),"")</f>
        <v>984892.23842857196</v>
      </c>
      <c r="J461" s="26">
        <f ca="1">IF($E461=1,J166*IF(CUR_I_Report&lt;&gt;$B$455,IF(CUR_I_Report=2,Проект!J$98,1/Проект!J$98),1),"")</f>
        <v>1216742.5162000011</v>
      </c>
      <c r="K461" s="26">
        <f ca="1">IF($E461=1,K166*IF(CUR_I_Report&lt;&gt;$B$455,IF(CUR_I_Report=2,Проект!K$98,1/Проект!K$98),1),"")</f>
        <v>1459931.9838914303</v>
      </c>
    </row>
    <row r="462" spans="1:13" outlineLevel="1">
      <c r="A462" s="47" t="str">
        <f ca="1">OFFSET(Язык!$A$517,0,LANGUAGE)</f>
        <v xml:space="preserve">    за исключением процентов по кредитам</v>
      </c>
      <c r="B462" s="29" t="str">
        <f ca="1">IF(E462=1,OFFSET(Язык!$A$544,0,LANGUAGE),OFFSET(Язык!$A$545,0,LANGUAGE))</f>
        <v>да</v>
      </c>
      <c r="C462" s="6" t="str">
        <f ca="1">C455</f>
        <v>$</v>
      </c>
      <c r="D462" s="1" t="s">
        <v>1315</v>
      </c>
      <c r="E462" s="2">
        <f>IF(B453=2,0,1)</f>
        <v>1</v>
      </c>
      <c r="F462" s="26">
        <f ca="1">IF($E462=1,-F159*IF(CUR_I_Report&lt;&gt;$B$455,IF(CUR_I_Report=2,Проект!F$98,1/Проект!F$98),1),"")</f>
        <v>0</v>
      </c>
      <c r="G462" s="26">
        <f ca="1">IF($E462=1,-G159*IF(CUR_I_Report&lt;&gt;$B$455,IF(CUR_I_Report=2,Проект!G$98,1/Проект!G$98),1),"")</f>
        <v>0</v>
      </c>
      <c r="H462" s="26">
        <f ca="1">IF($E462=1,-H159*IF(CUR_I_Report&lt;&gt;$B$455,IF(CUR_I_Report=2,Проект!H$98,1/Проект!H$98),1),"")</f>
        <v>406840.00000000006</v>
      </c>
      <c r="I462" s="26">
        <f ca="1">IF($E462=1,-I159*IF(CUR_I_Report&lt;&gt;$B$455,IF(CUR_I_Report=2,Проект!I$98,1/Проект!I$98),1),"")</f>
        <v>271040</v>
      </c>
      <c r="J462" s="26">
        <f ca="1">IF($E462=1,-J159*IF(CUR_I_Report&lt;&gt;$B$455,IF(CUR_I_Report=2,Проект!J$98,1/Проект!J$98),1),"")</f>
        <v>135240</v>
      </c>
      <c r="K462" s="26">
        <f ca="1">IF($E462=1,-K159*IF(CUR_I_Report&lt;&gt;$B$455,IF(CUR_I_Report=2,Проект!K$98,1/Проект!K$98),1),"")</f>
        <v>0</v>
      </c>
    </row>
    <row r="463" spans="1:13" outlineLevel="1">
      <c r="A463" s="47" t="str">
        <f ca="1">OFFSET(Язык!$A$518,0,LANGUAGE)</f>
        <v>Денежные потоки от инвестиционной деятельности</v>
      </c>
      <c r="B463" s="29" t="str">
        <f ca="1">IF(E463=1,OFFSET(Язык!$A$544,0,LANGUAGE),OFFSET(Язык!$A$545,0,LANGUAGE))</f>
        <v>да</v>
      </c>
      <c r="C463" s="6" t="str">
        <f ca="1">C455</f>
        <v>$</v>
      </c>
      <c r="D463" s="1" t="s">
        <v>1315</v>
      </c>
      <c r="E463" s="2">
        <v>1</v>
      </c>
      <c r="F463" s="26">
        <f ca="1">IF($E463=1,F179*IF(CUR_I_Report&lt;&gt;$B$455,IF(CUR_I_Report=2,Проект!F$98,1/Проект!F$98),1),"")</f>
        <v>0</v>
      </c>
      <c r="G463" s="26">
        <f ca="1">IF($E463=1,G179*IF(CUR_I_Report&lt;&gt;$B$455,IF(CUR_I_Report=2,Проект!G$98,1/Проект!G$98),1),"")</f>
        <v>-2821370.3430555556</v>
      </c>
      <c r="H463" s="26">
        <f ca="1">IF($E463=1,H179*IF(CUR_I_Report&lt;&gt;$B$455,IF(CUR_I_Report=2,Проект!H$98,1/Проект!H$98),1),"")</f>
        <v>42207.909756944544</v>
      </c>
      <c r="I463" s="26">
        <f ca="1">IF($E463=1,I179*IF(CUR_I_Report&lt;&gt;$B$455,IF(CUR_I_Report=2,Проект!I$98,1/Проект!I$98),1),"")</f>
        <v>12520.968371031806</v>
      </c>
      <c r="J463" s="26">
        <f ca="1">IF($E463=1,J179*IF(CUR_I_Report&lt;&gt;$B$455,IF(CUR_I_Report=2,Проект!J$98,1/Проект!J$98),1),"")</f>
        <v>52013.98071706359</v>
      </c>
      <c r="K463" s="26">
        <f ca="1">IF($E463=1,K179*IF(CUR_I_Report&lt;&gt;$B$455,IF(CUR_I_Report=2,Проект!K$98,1/Проект!K$98),1),"")</f>
        <v>54420.743654841237</v>
      </c>
    </row>
    <row r="464" spans="1:13" outlineLevel="1">
      <c r="A464" s="47" t="str">
        <f ca="1">OFFSET(Язык!$A$519,0,LANGUAGE)</f>
        <v>Поступления акционерного капитала</v>
      </c>
      <c r="B464" s="29" t="str">
        <f ca="1">IF(E464=1,OFFSET(Язык!$A$544,0,LANGUAGE),OFFSET(Язык!$A$545,0,LANGUAGE))</f>
        <v>нет</v>
      </c>
      <c r="C464" s="6" t="str">
        <f ca="1">C455</f>
        <v>$</v>
      </c>
      <c r="D464" s="1" t="s">
        <v>1315</v>
      </c>
      <c r="E464" s="2">
        <f>IF(B453=3,1,0)</f>
        <v>0</v>
      </c>
      <c r="F464" s="26" t="str">
        <f>IF($E464=1,F181*IF(CUR_I_Report&lt;&gt;$B$455,IF(CUR_I_Report=2,Проект!F$98,1/Проект!F$98),1),"")</f>
        <v/>
      </c>
      <c r="G464" s="26" t="str">
        <f>IF($E464=1,G181*IF(CUR_I_Report&lt;&gt;$B$455,IF(CUR_I_Report=2,Проект!G$98,1/Проект!G$98),1),"")</f>
        <v/>
      </c>
      <c r="H464" s="26" t="str">
        <f>IF($E464=1,H181*IF(CUR_I_Report&lt;&gt;$B$455,IF(CUR_I_Report=2,Проект!H$98,1/Проект!H$98),1),"")</f>
        <v/>
      </c>
      <c r="I464" s="26" t="str">
        <f>IF($E464=1,I181*IF(CUR_I_Report&lt;&gt;$B$455,IF(CUR_I_Report=2,Проект!I$98,1/Проект!I$98),1),"")</f>
        <v/>
      </c>
      <c r="J464" s="26" t="str">
        <f>IF($E464=1,J181*IF(CUR_I_Report&lt;&gt;$B$455,IF(CUR_I_Report=2,Проект!J$98,1/Проект!J$98),1),"")</f>
        <v/>
      </c>
      <c r="K464" s="26" t="str">
        <f>IF($E464=1,K181*IF(CUR_I_Report&lt;&gt;$B$455,IF(CUR_I_Report=2,Проект!K$98,1/Проект!K$98),1),"")</f>
        <v/>
      </c>
    </row>
    <row r="465" spans="1:13" outlineLevel="1">
      <c r="A465" s="47" t="str">
        <f ca="1">OFFSET(Язык!$A$520,0,LANGUAGE)</f>
        <v>Поступления кредитов</v>
      </c>
      <c r="B465" s="29" t="str">
        <f ca="1">IF(E465=1,OFFSET(Язык!$A$544,0,LANGUAGE),OFFSET(Язык!$A$545,0,LANGUAGE))</f>
        <v>нет</v>
      </c>
      <c r="C465" s="6" t="str">
        <f ca="1">C455</f>
        <v>$</v>
      </c>
      <c r="D465" s="1" t="s">
        <v>1315</v>
      </c>
      <c r="E465" s="2">
        <f>IF(B453=2,1,0)</f>
        <v>0</v>
      </c>
      <c r="F465" s="26" t="str">
        <f>IF($E465=1,F185*IF(CUR_I_Report&lt;&gt;$B$455,IF(CUR_I_Report=2,Проект!F$98,1/Проект!F$98),1),"")</f>
        <v/>
      </c>
      <c r="G465" s="26" t="str">
        <f>IF($E465=1,G185*IF(CUR_I_Report&lt;&gt;$B$455,IF(CUR_I_Report=2,Проект!G$98,1/Проект!G$98),1),"")</f>
        <v/>
      </c>
      <c r="H465" s="26" t="str">
        <f>IF($E465=1,H185*IF(CUR_I_Report&lt;&gt;$B$455,IF(CUR_I_Report=2,Проект!H$98,1/Проект!H$98),1),"")</f>
        <v/>
      </c>
      <c r="I465" s="26" t="str">
        <f>IF($E465=1,I185*IF(CUR_I_Report&lt;&gt;$B$455,IF(CUR_I_Report=2,Проект!I$98,1/Проект!I$98),1),"")</f>
        <v/>
      </c>
      <c r="J465" s="26" t="str">
        <f>IF($E465=1,J185*IF(CUR_I_Report&lt;&gt;$B$455,IF(CUR_I_Report=2,Проект!J$98,1/Проект!J$98),1),"")</f>
        <v/>
      </c>
      <c r="K465" s="26" t="str">
        <f>IF($E465=1,K185*IF(CUR_I_Report&lt;&gt;$B$455,IF(CUR_I_Report=2,Проект!K$98,1/Проект!K$98),1),"")</f>
        <v/>
      </c>
    </row>
    <row r="466" spans="1:13" outlineLevel="1">
      <c r="A466" s="47" t="str">
        <f ca="1">OFFSET(Язык!$A$521,0,LANGUAGE)</f>
        <v>Возврат кредитов</v>
      </c>
      <c r="B466" s="29" t="str">
        <f ca="1">IF(E466=1,OFFSET(Язык!$A$544,0,LANGUAGE),OFFSET(Язык!$A$545,0,LANGUAGE))</f>
        <v>нет</v>
      </c>
      <c r="C466" s="6" t="str">
        <f ca="1">C455</f>
        <v>$</v>
      </c>
      <c r="D466" s="1" t="s">
        <v>1315</v>
      </c>
      <c r="E466" s="2">
        <f>IF(B453=2,1,0)</f>
        <v>0</v>
      </c>
      <c r="F466" s="26" t="str">
        <f>IF($E466=1,F187*IF(CUR_I_Report&lt;&gt;$B$455,IF(CUR_I_Report=2,Проект!F$98,1/Проект!F$98),1),"")</f>
        <v/>
      </c>
      <c r="G466" s="26" t="str">
        <f>IF($E466=1,G187*IF(CUR_I_Report&lt;&gt;$B$455,IF(CUR_I_Report=2,Проект!G$98,1/Проект!G$98),1),"")</f>
        <v/>
      </c>
      <c r="H466" s="26" t="str">
        <f>IF($E466=1,H187*IF(CUR_I_Report&lt;&gt;$B$455,IF(CUR_I_Report=2,Проект!H$98,1/Проект!H$98),1),"")</f>
        <v/>
      </c>
      <c r="I466" s="26" t="str">
        <f>IF($E466=1,I187*IF(CUR_I_Report&lt;&gt;$B$455,IF(CUR_I_Report=2,Проект!I$98,1/Проект!I$98),1),"")</f>
        <v/>
      </c>
      <c r="J466" s="26" t="str">
        <f>IF($E466=1,J187*IF(CUR_I_Report&lt;&gt;$B$455,IF(CUR_I_Report=2,Проект!J$98,1/Проект!J$98),1),"")</f>
        <v/>
      </c>
      <c r="K466" s="26" t="str">
        <f>IF($E466=1,K187*IF(CUR_I_Report&lt;&gt;$B$455,IF(CUR_I_Report=2,Проект!K$98,1/Проект!K$98),1),"")</f>
        <v/>
      </c>
    </row>
    <row r="467" spans="1:13" outlineLevel="1">
      <c r="A467" s="47" t="str">
        <f ca="1">OFFSET(Язык!$A$522,0,LANGUAGE)</f>
        <v>Лизинговые платежи</v>
      </c>
      <c r="B467" s="29" t="str">
        <f ca="1">IF(E467=1,OFFSET(Язык!$A$544,0,LANGUAGE),OFFSET(Язык!$A$545,0,LANGUAGE))</f>
        <v>да</v>
      </c>
      <c r="C467" s="6" t="str">
        <f ca="1">C455</f>
        <v>$</v>
      </c>
      <c r="D467" s="1" t="s">
        <v>1315</v>
      </c>
      <c r="E467" s="2">
        <v>1</v>
      </c>
      <c r="F467" s="26">
        <f ca="1">IF($E467=1,F189*IF(CUR_I_Report&lt;&gt;$B$455,IF(CUR_I_Report=2,Проект!F$98,1/Проект!F$98),1),"")</f>
        <v>0</v>
      </c>
      <c r="G467" s="26">
        <f ca="1">IF($E467=1,G189*IF(CUR_I_Report&lt;&gt;$B$455,IF(CUR_I_Report=2,Проект!G$98,1/Проект!G$98),1),"")</f>
        <v>0</v>
      </c>
      <c r="H467" s="26">
        <f ca="1">IF($E467=1,H189*IF(CUR_I_Report&lt;&gt;$B$455,IF(CUR_I_Report=2,Проект!H$98,1/Проект!H$98),1),"")</f>
        <v>0</v>
      </c>
      <c r="I467" s="26">
        <f ca="1">IF($E467=1,I189*IF(CUR_I_Report&lt;&gt;$B$455,IF(CUR_I_Report=2,Проект!I$98,1/Проект!I$98),1),"")</f>
        <v>0</v>
      </c>
      <c r="J467" s="26">
        <f ca="1">IF($E467=1,J189*IF(CUR_I_Report&lt;&gt;$B$455,IF(CUR_I_Report=2,Проект!J$98,1/Проект!J$98),1),"")</f>
        <v>0</v>
      </c>
      <c r="K467" s="26">
        <f ca="1">IF($E467=1,K189*IF(CUR_I_Report&lt;&gt;$B$455,IF(CUR_I_Report=2,Проект!K$98,1/Проект!K$98),1),"")</f>
        <v>0</v>
      </c>
    </row>
    <row r="468" spans="1:13" outlineLevel="1">
      <c r="A468" s="47" t="str">
        <f ca="1">OFFSET(Язык!$A$523,0,LANGUAGE)</f>
        <v>Выплата дивидендов</v>
      </c>
      <c r="B468" s="29" t="str">
        <f ca="1">IF(E468=1,OFFSET(Язык!$A$544,0,LANGUAGE),OFFSET(Язык!$A$545,0,LANGUAGE))</f>
        <v>нет</v>
      </c>
      <c r="C468" s="6" t="str">
        <f ca="1">C455</f>
        <v>$</v>
      </c>
      <c r="D468" s="1" t="s">
        <v>1315</v>
      </c>
      <c r="E468" s="2">
        <f>IF(B453=3,1,0)</f>
        <v>0</v>
      </c>
      <c r="F468" s="26" t="str">
        <f>IF($E468=1,F191*IF(CUR_I_Report&lt;&gt;$B$455,IF(CUR_I_Report=2,Проект!F$98,1/Проект!F$98),1),"")</f>
        <v/>
      </c>
      <c r="G468" s="26" t="str">
        <f>IF($E468=1,G191*IF(CUR_I_Report&lt;&gt;$B$455,IF(CUR_I_Report=2,Проект!G$98,1/Проект!G$98),1),"")</f>
        <v/>
      </c>
      <c r="H468" s="26" t="str">
        <f>IF($E468=1,H191*IF(CUR_I_Report&lt;&gt;$B$455,IF(CUR_I_Report=2,Проект!H$98,1/Проект!H$98),1),"")</f>
        <v/>
      </c>
      <c r="I468" s="26" t="str">
        <f>IF($E468=1,I191*IF(CUR_I_Report&lt;&gt;$B$455,IF(CUR_I_Report=2,Проект!I$98,1/Проект!I$98),1),"")</f>
        <v/>
      </c>
      <c r="J468" s="26" t="str">
        <f>IF($E468=1,J191*IF(CUR_I_Report&lt;&gt;$B$455,IF(CUR_I_Report=2,Проект!J$98,1/Проект!J$98),1),"")</f>
        <v/>
      </c>
      <c r="K468" s="26" t="str">
        <f>IF($E468=1,K191*IF(CUR_I_Report&lt;&gt;$B$455,IF(CUR_I_Report=2,Проект!K$98,1/Проект!K$98),1),"")</f>
        <v/>
      </c>
    </row>
    <row r="469" spans="1:13" outlineLevel="1">
      <c r="A469" s="162" t="str">
        <f ca="1">OFFSET(Язык!$A$851,0,LANGUAGE)</f>
        <v>Остаточная стоимость проекта</v>
      </c>
      <c r="B469" s="154" t="str">
        <f ca="1">IF(E469=1,OFFSET(Язык!$A$544,0,LANGUAGE),OFFSET(Язык!$A$545,0,LANGUAGE))</f>
        <v>нет</v>
      </c>
      <c r="C469" s="41" t="str">
        <f ca="1">C455</f>
        <v>$</v>
      </c>
      <c r="D469" s="170"/>
      <c r="E469" s="43">
        <f>IF(B453=3,0,B454)</f>
        <v>0</v>
      </c>
      <c r="F469" s="57"/>
      <c r="G469" s="57" t="str">
        <f>IF(AND($E469=1,Проект!G$27=PRJ_Len),(G315-G252)*IF(CUR_I_Report&lt;&gt;$B$455,IF(CUR_I_Report=2,Проект!G$98,1/Проект!G$98),1),"")</f>
        <v/>
      </c>
      <c r="H469" s="57" t="str">
        <f>IF(AND($E469=1,Проект!H$27=PRJ_Len),(H315-H252)*IF(CUR_I_Report&lt;&gt;$B$455,IF(CUR_I_Report=2,Проект!H$98,1/Проект!H$98),1),"")</f>
        <v/>
      </c>
      <c r="I469" s="57" t="str">
        <f>IF(AND($E469=1,Проект!I$27=PRJ_Len),(I315-I252)*IF(CUR_I_Report&lt;&gt;$B$455,IF(CUR_I_Report=2,Проект!I$98,1/Проект!I$98),1),"")</f>
        <v/>
      </c>
      <c r="J469" s="57" t="str">
        <f>IF(AND($E469=1,Проект!J$27=PRJ_Len),(J315-J252)*IF(CUR_I_Report&lt;&gt;$B$455,IF(CUR_I_Report=2,Проект!J$98,1/Проект!J$98),1),"")</f>
        <v/>
      </c>
      <c r="K469" s="57" t="str">
        <f>IF(AND($E469=1,Проект!K$27=PRJ_Len),(K315-K252)*IF(CUR_I_Report&lt;&gt;$B$455,IF(CUR_I_Report=2,Проект!K$98,1/Проект!K$98),1),"")</f>
        <v/>
      </c>
      <c r="L469" s="170"/>
      <c r="M469" s="170"/>
    </row>
    <row r="470" spans="1:13" outlineLevel="1">
      <c r="A470" s="2"/>
      <c r="B470" s="6"/>
      <c r="C470" s="6"/>
    </row>
    <row r="471" spans="1:13" outlineLevel="1">
      <c r="A471" s="47" t="str">
        <f ca="1">OFFSET(Язык!$A$524,0,LANGUAGE) &amp; IF(CalcMethod=1,OFFSET(Язык!$A$877,0,LANGUAGE),"")</f>
        <v>Чистый денежный поток</v>
      </c>
      <c r="B471" s="6"/>
      <c r="C471" s="6" t="str">
        <f ca="1">C455</f>
        <v>$</v>
      </c>
      <c r="D471" s="1" t="s">
        <v>1315</v>
      </c>
      <c r="F471" s="26">
        <f ca="1">SUMIF($E461:$E468,1,F461:F468)*IF(CalcMethod=1,IF($B$455=1,Проект!F$93,Проект!F$103),1)</f>
        <v>0</v>
      </c>
      <c r="G471" s="26">
        <f ca="1">SUMIF($E461:$E468,1,G461:G468)*IF(CalcMethod=1,IF($B$455=1,Проект!G$93,Проект!G$103),1)</f>
        <v>-2379955.1144841271</v>
      </c>
      <c r="H471" s="26">
        <f ca="1">SUMIF($E461:$E468,1,H461:H468)*IF(CalcMethod=1,IF($B$455=1,Проект!H$93,Проект!H$103),1)</f>
        <v>1852359.0176140876</v>
      </c>
      <c r="I471" s="26">
        <f ca="1">SUMIF($E461:$E468,1,I461:I468)*IF(CalcMethod=1,IF($B$455=1,Проект!I$93,Проект!I$103),1)</f>
        <v>1268453.2067996038</v>
      </c>
      <c r="J471" s="26">
        <f ca="1">SUMIF($E461:$E468,1,J461:J468)*IF(CalcMethod=1,IF($B$455=1,Проект!J$93,Проект!J$103),1)</f>
        <v>1403996.4969170648</v>
      </c>
      <c r="K471" s="26">
        <f ca="1">SUMIF($E461:$E468,1,K461:K468)*IF(CalcMethod=1,IF($B$455=1,Проект!K$93,Проект!K$103),1)</f>
        <v>1514352.7275462716</v>
      </c>
    </row>
    <row r="472" spans="1:13" outlineLevel="1">
      <c r="A472" s="47" t="str">
        <f ca="1">OFFSET(Язык!$A$525,0,LANGUAGE)</f>
        <v>Дисконтированный чистый денежный поток</v>
      </c>
      <c r="B472" s="6"/>
      <c r="C472" s="6" t="str">
        <f ca="1">C455</f>
        <v>$</v>
      </c>
      <c r="D472" s="1" t="s">
        <v>1315</v>
      </c>
      <c r="F472" s="26">
        <f t="shared" ref="F472:J472" ca="1" si="80">F471/F458</f>
        <v>0</v>
      </c>
      <c r="G472" s="26">
        <f t="shared" ca="1" si="80"/>
        <v>-1983295.9287367726</v>
      </c>
      <c r="H472" s="26">
        <f t="shared" ca="1" si="80"/>
        <v>1286360.4288986719</v>
      </c>
      <c r="I472" s="26">
        <f t="shared" ca="1" si="80"/>
        <v>734058.56874977075</v>
      </c>
      <c r="J472" s="26">
        <f t="shared" ca="1" si="80"/>
        <v>677081.64396077592</v>
      </c>
      <c r="K472" s="26">
        <f t="shared" ref="K472" ca="1" si="81">K471/K458</f>
        <v>608584.39732280083</v>
      </c>
      <c r="M472" s="134">
        <f ca="1">SUM(F472:K472)</f>
        <v>1322789.1101952468</v>
      </c>
    </row>
    <row r="473" spans="1:13" outlineLevel="1">
      <c r="A473" s="47" t="str">
        <f ca="1">OFFSET(Язык!$A$526,0,LANGUAGE)</f>
        <v>Дисконтированный поток нарастающим итогом</v>
      </c>
      <c r="B473" s="6"/>
      <c r="C473" s="6" t="str">
        <f ca="1">C455</f>
        <v>$</v>
      </c>
      <c r="D473" s="1" t="s">
        <v>1736</v>
      </c>
      <c r="F473" s="26">
        <f t="shared" ref="F473:K473" ca="1" si="82">E473+F472</f>
        <v>0</v>
      </c>
      <c r="G473" s="26">
        <f t="shared" ca="1" si="82"/>
        <v>-1983295.9287367726</v>
      </c>
      <c r="H473" s="26">
        <f t="shared" ca="1" si="82"/>
        <v>-696935.49983810075</v>
      </c>
      <c r="I473" s="26">
        <f t="shared" ca="1" si="82"/>
        <v>37123.068911670009</v>
      </c>
      <c r="J473" s="26">
        <f t="shared" ca="1" si="82"/>
        <v>714204.71287244593</v>
      </c>
      <c r="K473" s="26">
        <f t="shared" ca="1" si="82"/>
        <v>1322789.1101952468</v>
      </c>
    </row>
    <row r="474" spans="1:13" outlineLevel="1">
      <c r="A474" s="2"/>
      <c r="B474" s="6"/>
      <c r="C474" s="6"/>
    </row>
    <row r="475" spans="1:13" outlineLevel="1" collapsed="1">
      <c r="A475" s="47" t="str">
        <f ca="1">OFFSET(Язык!$A$527,0,LANGUAGE)</f>
        <v>Простой срок окупаемости</v>
      </c>
      <c r="B475" s="94">
        <f ca="1">IF(ISERROR(E477),"нет",IF(OR(E477=0),E477*PRJ_Step/360,(E477-1-OFFSET(F476,0,E477-1)/(-OFFSET(F476,0,E477-1)+OFFSET(F476,0,E477)))*PRJ_Step/360))</f>
        <v>0</v>
      </c>
      <c r="C475" s="6" t="str">
        <f ca="1">IF(B475=0,OFFSET(Язык!$A$546,0,LANGUAGE),IF(OR(B475&lt;1,AND(B475&gt;1,B475&lt;5)),OFFSET(Язык!$A$547,0,LANGUAGE),IF(B475=1,OFFSET(Язык!$A$548,0,LANGUAGE),OFFSET(Язык!$A$546,0,LANGUAGE))))</f>
        <v>лет</v>
      </c>
    </row>
    <row r="476" spans="1:13" hidden="1" outlineLevel="2">
      <c r="A476" s="47" t="str">
        <f ca="1">OFFSET(Язык!$A$843,0,LANGUAGE)</f>
        <v xml:space="preserve">    недисконтированный поток нарастающим итогом</v>
      </c>
      <c r="B476" s="94"/>
      <c r="C476" s="6"/>
      <c r="F476" s="134">
        <f t="shared" ref="F476:K476" ca="1" si="83">E476+F471</f>
        <v>0</v>
      </c>
      <c r="G476" s="134">
        <f t="shared" ca="1" si="83"/>
        <v>-2379955.1144841271</v>
      </c>
      <c r="H476" s="134">
        <f t="shared" ca="1" si="83"/>
        <v>-527596.09687003959</v>
      </c>
      <c r="I476" s="134">
        <f t="shared" ca="1" si="83"/>
        <v>740857.10992956418</v>
      </c>
      <c r="J476" s="134">
        <f t="shared" ca="1" si="83"/>
        <v>2144853.6068466287</v>
      </c>
      <c r="K476" s="134">
        <f t="shared" ca="1" si="83"/>
        <v>3659206.3343929006</v>
      </c>
    </row>
    <row r="477" spans="1:13" hidden="1" outlineLevel="2">
      <c r="A477" s="47" t="str">
        <f ca="1">OFFSET(Язык!$A$528,0,LANGUAGE)</f>
        <v xml:space="preserve">    знак остатка денежных средств</v>
      </c>
      <c r="B477" s="6"/>
      <c r="C477" s="6"/>
      <c r="D477" s="1" t="s">
        <v>1736</v>
      </c>
      <c r="E477" s="2">
        <f ca="1">(MATCH(1,F477:K477,0)-1)</f>
        <v>1</v>
      </c>
      <c r="F477" s="2">
        <f t="shared" ref="F477:J477" ca="1" si="84">SIGN(F197)</f>
        <v>0</v>
      </c>
      <c r="G477" s="2">
        <f t="shared" ca="1" si="84"/>
        <v>1</v>
      </c>
      <c r="H477" s="2">
        <f t="shared" ca="1" si="84"/>
        <v>1</v>
      </c>
      <c r="I477" s="2">
        <f t="shared" ca="1" si="84"/>
        <v>1</v>
      </c>
      <c r="J477" s="2">
        <f t="shared" ca="1" si="84"/>
        <v>1</v>
      </c>
      <c r="K477" s="2">
        <f t="shared" ref="K477" ca="1" si="85">SIGN(K197)</f>
        <v>1</v>
      </c>
    </row>
    <row r="478" spans="1:13" outlineLevel="1">
      <c r="A478" s="2"/>
      <c r="B478" s="6"/>
      <c r="C478" s="6"/>
    </row>
    <row r="479" spans="1:13" outlineLevel="1">
      <c r="A479" s="32" t="str">
        <f ca="1">OFFSET(Язык!$A$529,0,LANGUAGE)</f>
        <v>Чистая приведенная стоимость (NPV)</v>
      </c>
      <c r="B479" s="53">
        <f ca="1">M472</f>
        <v>1322789.1101952468</v>
      </c>
      <c r="C479" s="63" t="str">
        <f ca="1">C455</f>
        <v>$</v>
      </c>
    </row>
    <row r="480" spans="1:13" outlineLevel="1" collapsed="1">
      <c r="A480" s="32" t="str">
        <f ca="1">OFFSET(Язык!$A$530,0,LANGUAGE)</f>
        <v>Дисконтированный срок окупаемости (PBP)</v>
      </c>
      <c r="B480" s="101">
        <f ca="1">IF(ISERROR(E481),"нет",IF(OR(E481=0),E481*PRJ_Step/360,(E481-1-OFFSET(F473,0,E481-1)/(-OFFSET(F473,0,E481-1)+OFFSET(F473,0,E481)))*PRJ_Step/360))</f>
        <v>2.9494276472040957</v>
      </c>
      <c r="C480" s="63" t="str">
        <f ca="1">IF(B480=0,OFFSET(Язык!$A$546,0,LANGUAGE),IF(OR(B480&lt;1,AND(B480&gt;1,B480&lt;5)),OFFSET(Язык!$A$547,0,LANGUAGE),IF(B480=1,OFFSET(Язык!$A$548,0,LANGUAGE),OFFSET(Язык!$A$546,0,LANGUAGE))))</f>
        <v>года</v>
      </c>
    </row>
    <row r="481" spans="1:13" hidden="1" outlineLevel="2">
      <c r="A481" s="47" t="str">
        <f ca="1">OFFSET(Язык!$A$531,0,LANGUAGE)</f>
        <v xml:space="preserve">    знак остатка дисконтированных денежных средств</v>
      </c>
      <c r="B481" s="94"/>
      <c r="C481" s="6"/>
      <c r="D481" s="1" t="s">
        <v>1736</v>
      </c>
      <c r="E481" s="2">
        <f ca="1">(MATCH(1,F481:K481,0)-1)</f>
        <v>3</v>
      </c>
      <c r="F481" s="2">
        <f t="shared" ref="F481:J481" ca="1" si="86">SIGN(F473)</f>
        <v>0</v>
      </c>
      <c r="G481" s="2">
        <f t="shared" ca="1" si="86"/>
        <v>-1</v>
      </c>
      <c r="H481" s="2">
        <f t="shared" ca="1" si="86"/>
        <v>-1</v>
      </c>
      <c r="I481" s="2">
        <f t="shared" ca="1" si="86"/>
        <v>1</v>
      </c>
      <c r="J481" s="2">
        <f t="shared" ca="1" si="86"/>
        <v>1</v>
      </c>
      <c r="K481" s="2">
        <f t="shared" ref="K481" ca="1" si="87">SIGN(K473)</f>
        <v>1</v>
      </c>
    </row>
    <row r="482" spans="1:13" outlineLevel="1">
      <c r="A482" s="32" t="str">
        <f ca="1">IF(B453=3,OFFSET(Язык!$A$837,0,LANGUAGE),OFFSET(Язык!$A$532,0,LANGUAGE))</f>
        <v>Внутренняя норма рентабельности (IRR)</v>
      </c>
      <c r="B482" s="102">
        <f ca="1">IF(ISERROR(E482),OFFSET(Язык!$A$549,0,LANGUAGE),IF(AND(E482&gt;0,E482&lt;100),E482,OFFSET(Язык!$A$549,0,LANGUAGE)))</f>
        <v>0.54391186856886908</v>
      </c>
      <c r="C482" s="6"/>
      <c r="E482" s="2">
        <f ca="1">(POWER(1+IRR(F471:K471,0.2*PRJ_Step/360),360/PRJ_Step)-1)</f>
        <v>0.54391186856886908</v>
      </c>
    </row>
    <row r="483" spans="1:13" outlineLevel="1">
      <c r="A483" s="2"/>
      <c r="B483" s="6"/>
      <c r="C483" s="6"/>
    </row>
    <row r="484" spans="1:13" outlineLevel="1" collapsed="1">
      <c r="A484" s="47" t="str">
        <f ca="1">OFFSET(Язык!$A$533,0,LANGUAGE)</f>
        <v>Норма доходности полных инвестиционных затрат</v>
      </c>
      <c r="B484" s="93">
        <f ca="1">IF(M486&gt;0,B479/M486,OFFSET(Язык!$A$549,0,LANGUAGE))</f>
        <v>0.58333536050297863</v>
      </c>
      <c r="C484" s="6"/>
    </row>
    <row r="485" spans="1:13" hidden="1" outlineLevel="2">
      <c r="A485" s="47" t="str">
        <f ca="1">OFFSET(Язык!$A$534,0,LANGUAGE)</f>
        <v xml:space="preserve">    инвестиции</v>
      </c>
      <c r="B485" s="6"/>
      <c r="C485" s="6"/>
      <c r="D485" s="1" t="s">
        <v>1315</v>
      </c>
      <c r="F485" s="26">
        <f t="shared" ref="F485:J485" ca="1" si="88">-(F168+F170+F172+F174)</f>
        <v>0</v>
      </c>
      <c r="G485" s="26">
        <f t="shared" ca="1" si="88"/>
        <v>2821370.3430555556</v>
      </c>
      <c r="H485" s="26">
        <f t="shared" ca="1" si="88"/>
        <v>-42207.909756944544</v>
      </c>
      <c r="I485" s="26">
        <f t="shared" ca="1" si="88"/>
        <v>-12520.968371031806</v>
      </c>
      <c r="J485" s="26">
        <f t="shared" ca="1" si="88"/>
        <v>-52013.98071706359</v>
      </c>
      <c r="K485" s="26">
        <f t="shared" ref="K485" ca="1" si="89">-(K168+K170+K172+K174)</f>
        <v>-54420.743654841237</v>
      </c>
    </row>
    <row r="486" spans="1:13" hidden="1" outlineLevel="2">
      <c r="A486" s="47" t="str">
        <f ca="1">OFFSET(Язык!$A$535,0,LANGUAGE)</f>
        <v xml:space="preserve">    дисконтированная стоимость инвестиций</v>
      </c>
      <c r="B486" s="6"/>
      <c r="C486" s="6"/>
      <c r="D486" s="1" t="s">
        <v>1315</v>
      </c>
      <c r="F486" s="26">
        <f t="shared" ref="F486:J486" ca="1" si="90">F485/F458</f>
        <v>0</v>
      </c>
      <c r="G486" s="26">
        <f t="shared" ca="1" si="90"/>
        <v>2351141.9525462966</v>
      </c>
      <c r="H486" s="26">
        <f t="shared" ca="1" si="90"/>
        <v>-29311.048442322601</v>
      </c>
      <c r="I486" s="26">
        <f t="shared" ca="1" si="90"/>
        <v>-7245.9307702730357</v>
      </c>
      <c r="J486" s="26">
        <f t="shared" ca="1" si="90"/>
        <v>-25083.902737781438</v>
      </c>
      <c r="K486" s="26">
        <f t="shared" ref="K486" ca="1" si="91">K485/K458</f>
        <v>-21870.476327337819</v>
      </c>
      <c r="M486" s="134">
        <f ca="1">SUM(F486:K486)</f>
        <v>2267630.5942685818</v>
      </c>
    </row>
    <row r="487" spans="1:13" outlineLevel="1">
      <c r="A487" s="2"/>
      <c r="B487" s="6"/>
      <c r="C487" s="6"/>
    </row>
    <row r="488" spans="1:13" outlineLevel="1">
      <c r="A488" s="32" t="str">
        <f ca="1">OFFSET(Язык!$A$536,0,LANGUAGE)</f>
        <v>Модифицированная IRR (MIRR)</v>
      </c>
      <c r="B488" s="102">
        <f ca="1">IF(ISERROR(E488),OFFSET(Язык!$A$549,0,LANGUAGE),E488)</f>
        <v>0.32912720088556835</v>
      </c>
      <c r="C488" s="6"/>
      <c r="E488" s="74">
        <f ca="1">(POWER(1+MIRR(F471:K471,POWER(1+B490,PRJ_Step/360)-1,POWER(1+B489,PRJ_Step/360)-1),360/PRJ_Step)-1)</f>
        <v>0.32912720088556835</v>
      </c>
    </row>
    <row r="489" spans="1:13" outlineLevel="1">
      <c r="A489" s="47" t="str">
        <f ca="1">OFFSET(Язык!$A$537,0,LANGUAGE)</f>
        <v>Средневзвешенная стоимость капитала</v>
      </c>
      <c r="B489" s="50">
        <f>B456</f>
        <v>0.2</v>
      </c>
      <c r="C489" s="6"/>
    </row>
    <row r="490" spans="1:13" outlineLevel="1">
      <c r="A490" s="45" t="str">
        <f ca="1">OFFSET(Язык!$A$538,0,LANGUAGE)</f>
        <v>Ставка дисконтирования инвестиционных затрат</v>
      </c>
      <c r="B490" s="98">
        <f>B456</f>
        <v>0.2</v>
      </c>
      <c r="C490" s="12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</row>
    <row r="491" spans="1:13" outlineLevel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</row>
    <row r="492" spans="1:13" s="2" customFormat="1" outlineLevel="1" collapsed="1">
      <c r="A492" s="37" t="str">
        <f ca="1">OFFSET(Язык!$A$539,0,LANGUAGE)</f>
        <v>График: Окупаемость проекта</v>
      </c>
      <c r="B492" s="76"/>
      <c r="C492" s="6"/>
    </row>
    <row r="493" spans="1:13" s="2" customFormat="1" hidden="1" outlineLevel="2">
      <c r="B493" s="76"/>
      <c r="C493" s="6"/>
    </row>
    <row r="494" spans="1:13" s="2" customFormat="1" hidden="1" outlineLevel="2">
      <c r="B494" s="76"/>
      <c r="C494" s="6"/>
    </row>
    <row r="495" spans="1:13" s="2" customFormat="1" hidden="1" outlineLevel="2">
      <c r="B495" s="76"/>
      <c r="C495" s="6"/>
    </row>
    <row r="496" spans="1:13" s="2" customFormat="1" hidden="1" outlineLevel="2">
      <c r="B496" s="76"/>
      <c r="C496" s="6"/>
    </row>
    <row r="497" spans="2:3" s="2" customFormat="1" hidden="1" outlineLevel="2">
      <c r="B497" s="76"/>
      <c r="C497" s="6"/>
    </row>
    <row r="498" spans="2:3" s="2" customFormat="1" hidden="1" outlineLevel="2">
      <c r="B498" s="76"/>
      <c r="C498" s="6"/>
    </row>
    <row r="499" spans="2:3" s="2" customFormat="1" hidden="1" outlineLevel="2">
      <c r="B499" s="76"/>
      <c r="C499" s="6"/>
    </row>
    <row r="500" spans="2:3" s="2" customFormat="1" hidden="1" outlineLevel="2">
      <c r="B500" s="76"/>
      <c r="C500" s="6"/>
    </row>
    <row r="501" spans="2:3" s="2" customFormat="1" hidden="1" outlineLevel="2">
      <c r="B501" s="76"/>
      <c r="C501" s="6"/>
    </row>
    <row r="502" spans="2:3" s="2" customFormat="1" hidden="1" outlineLevel="2">
      <c r="B502" s="76"/>
      <c r="C502" s="6"/>
    </row>
    <row r="503" spans="2:3" s="2" customFormat="1" hidden="1" outlineLevel="2">
      <c r="B503" s="76"/>
      <c r="C503" s="6"/>
    </row>
    <row r="504" spans="2:3" s="2" customFormat="1" hidden="1" outlineLevel="2">
      <c r="B504" s="76"/>
      <c r="C504" s="6"/>
    </row>
    <row r="505" spans="2:3" s="2" customFormat="1" hidden="1" outlineLevel="2">
      <c r="B505" s="76"/>
      <c r="C505" s="6"/>
    </row>
    <row r="506" spans="2:3" s="2" customFormat="1" hidden="1" outlineLevel="2">
      <c r="B506" s="76"/>
      <c r="C506" s="6"/>
    </row>
    <row r="507" spans="2:3" s="2" customFormat="1" hidden="1" outlineLevel="2">
      <c r="B507" s="76"/>
      <c r="C507" s="6"/>
    </row>
    <row r="508" spans="2:3" s="2" customFormat="1" hidden="1" outlineLevel="2">
      <c r="B508" s="76"/>
      <c r="C508" s="6"/>
    </row>
    <row r="509" spans="2:3" s="2" customFormat="1" hidden="1" outlineLevel="2">
      <c r="B509" s="76"/>
      <c r="C509" s="6"/>
    </row>
    <row r="510" spans="2:3" s="2" customFormat="1" hidden="1" outlineLevel="2">
      <c r="B510" s="76"/>
      <c r="C510" s="6"/>
    </row>
    <row r="511" spans="2:3" s="2" customFormat="1" hidden="1" outlineLevel="2">
      <c r="B511" s="76"/>
      <c r="C511" s="6"/>
    </row>
    <row r="512" spans="2:3" s="2" customFormat="1" hidden="1" outlineLevel="2">
      <c r="B512" s="76"/>
      <c r="C512" s="6"/>
    </row>
    <row r="513" spans="1:13" s="2" customFormat="1" hidden="1" outlineLevel="2">
      <c r="B513" s="76"/>
      <c r="C513" s="6"/>
    </row>
    <row r="514" spans="1:13" s="2" customFormat="1" hidden="1" outlineLevel="2">
      <c r="B514" s="76"/>
      <c r="C514" s="6"/>
    </row>
    <row r="515" spans="1:13" s="2" customFormat="1" hidden="1" outlineLevel="2">
      <c r="B515" s="76"/>
      <c r="C515" s="6"/>
    </row>
    <row r="516" spans="1:13" outlineLevel="1"/>
    <row r="517" spans="1:13" ht="12" outlineLevel="1" thickBot="1"/>
    <row r="518" spans="1:13" s="2" customFormat="1" ht="15.95" customHeight="1" thickTop="1" thickBot="1">
      <c r="A518" s="18" t="str">
        <f ca="1">OFFSET(Язык!$A$550,0,LANGUAGE)</f>
        <v>ОЦЕНКА БИЗНЕСА</v>
      </c>
      <c r="B518" s="19"/>
      <c r="C518" s="19"/>
      <c r="D518" s="18"/>
      <c r="E518" s="18"/>
      <c r="F518" s="19" t="str">
        <f t="shared" ref="F518:K518" si="92">PeriodTitle</f>
        <v>"0"</v>
      </c>
      <c r="G518" s="19">
        <f t="shared" si="92"/>
        <v>2013</v>
      </c>
      <c r="H518" s="19">
        <f t="shared" si="92"/>
        <v>2014</v>
      </c>
      <c r="I518" s="19">
        <f t="shared" si="92"/>
        <v>2015</v>
      </c>
      <c r="J518" s="19">
        <f t="shared" si="92"/>
        <v>2016</v>
      </c>
      <c r="K518" s="19">
        <f t="shared" si="92"/>
        <v>2017</v>
      </c>
      <c r="L518" s="19"/>
      <c r="M518" s="23"/>
    </row>
    <row r="519" spans="1:13" ht="12" outlineLevel="1" thickTop="1"/>
    <row r="520" spans="1:13" outlineLevel="1">
      <c r="A520" s="2" t="str">
        <f ca="1">OFFSET(Язык!$A$551,0,LANGUAGE)</f>
        <v>Валюта расчетов:</v>
      </c>
      <c r="B520" s="7">
        <f>B455</f>
        <v>1</v>
      </c>
      <c r="C520" s="6" t="str">
        <f ca="1">CHOOSE(B520,CUR_Main,CUR_Foreign)</f>
        <v>$</v>
      </c>
    </row>
    <row r="521" spans="1:13" outlineLevel="1" collapsed="1">
      <c r="A521" s="2" t="str">
        <f ca="1">OFFSET(Язык!$A$552,0,LANGUAGE)</f>
        <v>Расчеты ведутся для WACC</v>
      </c>
      <c r="B521" s="50">
        <f>B456</f>
        <v>0.2</v>
      </c>
      <c r="C521" s="6"/>
      <c r="F521" s="139">
        <f>B521</f>
        <v>0.2</v>
      </c>
      <c r="G521" s="180">
        <f t="shared" ref="G521:K521" si="93">F521</f>
        <v>0.2</v>
      </c>
      <c r="H521" s="180">
        <f t="shared" si="93"/>
        <v>0.2</v>
      </c>
      <c r="I521" s="180">
        <f t="shared" si="93"/>
        <v>0.2</v>
      </c>
      <c r="J521" s="180">
        <f t="shared" si="93"/>
        <v>0.2</v>
      </c>
      <c r="K521" s="180">
        <f t="shared" si="93"/>
        <v>0.2</v>
      </c>
    </row>
    <row r="522" spans="1:13" hidden="1" outlineLevel="2">
      <c r="A522" s="2" t="str">
        <f ca="1">OFFSET(Язык!$A$553,0,LANGUAGE)</f>
        <v xml:space="preserve">    ставка дисконтирования на расчетный период</v>
      </c>
      <c r="B522" s="76"/>
      <c r="C522" s="6"/>
      <c r="G522" s="66">
        <f t="shared" ref="G522:J522" si="94">POWER(1+G521,PRJ_Step/360)-1</f>
        <v>0.19999999999999996</v>
      </c>
      <c r="H522" s="66">
        <f t="shared" si="94"/>
        <v>0.19999999999999996</v>
      </c>
      <c r="I522" s="66">
        <f t="shared" si="94"/>
        <v>0.19999999999999996</v>
      </c>
      <c r="J522" s="66">
        <f t="shared" si="94"/>
        <v>0.19999999999999996</v>
      </c>
      <c r="K522" s="66">
        <f t="shared" ref="K522" si="95">POWER(1+K521,PRJ_Step/360)-1</f>
        <v>0.19999999999999996</v>
      </c>
    </row>
    <row r="523" spans="1:13" hidden="1" outlineLevel="2">
      <c r="A523" s="2" t="str">
        <f ca="1">OFFSET(Язык!$A$554,0,LANGUAGE)</f>
        <v xml:space="preserve">    коэффициент дисконта</v>
      </c>
      <c r="B523" s="76"/>
      <c r="C523" s="6"/>
      <c r="D523" s="1" t="s">
        <v>1746</v>
      </c>
      <c r="F523" s="100">
        <v>1</v>
      </c>
      <c r="G523" s="100">
        <f t="shared" ref="G523:K523" si="96">F523*(1+G522)</f>
        <v>1.2</v>
      </c>
      <c r="H523" s="100">
        <f t="shared" si="96"/>
        <v>1.44</v>
      </c>
      <c r="I523" s="100">
        <f t="shared" si="96"/>
        <v>1.728</v>
      </c>
      <c r="J523" s="100">
        <f t="shared" si="96"/>
        <v>2.0735999999999999</v>
      </c>
      <c r="K523" s="100">
        <f t="shared" si="96"/>
        <v>2.4883199999999999</v>
      </c>
    </row>
    <row r="524" spans="1:13" outlineLevel="1">
      <c r="A524" s="2"/>
      <c r="B524" s="6"/>
      <c r="C524" s="6"/>
    </row>
    <row r="525" spans="1:13" outlineLevel="1">
      <c r="A525" s="32" t="str">
        <f ca="1">OFFSET(Язык!$A$555,0,LANGUAGE) &amp; OFFSET(Язык!$A$880,CalcMethod-1,LANGUAGE)</f>
        <v>Компоненты оценки бизнеса (дисконтированные)</v>
      </c>
      <c r="B525" s="6"/>
      <c r="C525" s="6"/>
    </row>
    <row r="526" spans="1:13" outlineLevel="1">
      <c r="A526" s="2"/>
      <c r="B526" s="6"/>
      <c r="C526" s="6"/>
    </row>
    <row r="527" spans="1:13" outlineLevel="1">
      <c r="A527" s="2" t="str">
        <f ca="1">OFFSET(Язык!$A$556,0,LANGUAGE)</f>
        <v>Чистая стоимость денежных потоков проекта (NPV)</v>
      </c>
      <c r="B527" s="95"/>
      <c r="C527" s="6" t="str">
        <f ca="1">C520</f>
        <v>$</v>
      </c>
      <c r="D527" s="1" t="s">
        <v>1315</v>
      </c>
      <c r="F527" s="26">
        <f ca="1">(F166+F179+F185+F187+F189)*IF(CUR_I_Report&lt;&gt;$B$520,IF(CUR_I_Report=2,Проект!F$98,1/Проект!F$98),1)/F523*IF(CalcMethod=1,IF($B$520=1,Проект!F$93,Проект!F$103),1)</f>
        <v>0</v>
      </c>
      <c r="G527" s="26">
        <f ca="1">(G166+G179+G185+G187+G189)*IF(CUR_I_Report&lt;&gt;$B$520,IF(CUR_I_Report=2,Проект!G$98,1/Проект!G$98),1)/G523*IF(CalcMethod=1,IF($B$520=1,Проект!G$93,Проект!G$103),1)</f>
        <v>438370.73792989407</v>
      </c>
      <c r="H527" s="26">
        <f ca="1">(H166+H179+H185+H187+H189)*IF(CUR_I_Report&lt;&gt;$B$520,IF(CUR_I_Report=2,Проект!H$98,1/Проект!H$98),1)/H523*IF(CalcMethod=1,IF($B$520=1,Проект!H$93,Проект!H$103),1)</f>
        <v>330221.54000978306</v>
      </c>
      <c r="I527" s="26">
        <f ca="1">(I166+I179+I185+I187+I189)*IF(CUR_I_Report&lt;&gt;$B$520,IF(CUR_I_Report=2,Проект!I$98,1/Проект!I$98),1)/I523*IF(CalcMethod=1,IF($B$520=1,Проект!I$93,Проект!I$103),1)</f>
        <v>15864.124305326253</v>
      </c>
      <c r="J527" s="26">
        <f ca="1">(J166+J179+J185+J187+J189)*IF(CUR_I_Report&lt;&gt;$B$520,IF(CUR_I_Report=2,Проект!J$98,1/Проект!J$98),1)/J523*IF(CalcMethod=1,IF($B$520=1,Проект!J$93,Проект!J$103),1)</f>
        <v>146005.25507188696</v>
      </c>
      <c r="K527" s="26">
        <f ca="1">(K166+K179+K185+K187+K189)*IF(CUR_I_Report&lt;&gt;$B$520,IF(CUR_I_Report=2,Проект!K$98,1/Проект!K$98),1)/K523*IF(CalcMethod=1,IF($B$520=1,Проект!K$93,Проект!K$103),1)</f>
        <v>608584.39732280083</v>
      </c>
      <c r="M527" s="134">
        <f ca="1">SUM(F527:K527)</f>
        <v>1539046.054639691</v>
      </c>
    </row>
    <row r="528" spans="1:13" outlineLevel="1">
      <c r="A528" s="2" t="str">
        <f ca="1">OFFSET(Язык!$A$557,0,LANGUAGE)</f>
        <v>Дисконтированные дивиденды (ДД)</v>
      </c>
      <c r="B528" s="95"/>
      <c r="C528" s="6" t="str">
        <f ca="1">C520</f>
        <v>$</v>
      </c>
      <c r="D528" s="1" t="s">
        <v>1315</v>
      </c>
      <c r="F528" s="26">
        <f ca="1">F191*IF(CUR_I_Report&lt;&gt;$B$520,IF(CUR_I_Report=2,Проект!F$98,1/Проект!F$98),1)/F523*IF(CalcMethod=1,IF($B$520=1,Проект!F$93,Проект!F$103),1)</f>
        <v>0</v>
      </c>
      <c r="G528" s="26">
        <f ca="1">G191*IF(CUR_I_Report&lt;&gt;$B$520,IF(CUR_I_Report=2,Проект!G$98,1/Проект!G$98),1)/G523*IF(CalcMethod=1,IF($B$520=1,Проект!G$93,Проект!G$103),1)</f>
        <v>0</v>
      </c>
      <c r="H528" s="26">
        <f ca="1">H191*IF(CUR_I_Report&lt;&gt;$B$520,IF(CUR_I_Report=2,Проект!H$98,1/Проект!H$98),1)/H523*IF(CalcMethod=1,IF($B$520=1,Проект!H$93,Проект!H$103),1)</f>
        <v>0</v>
      </c>
      <c r="I528" s="26">
        <f ca="1">I191*IF(CUR_I_Report&lt;&gt;$B$520,IF(CUR_I_Report=2,Проект!I$98,1/Проект!I$98),1)/I523*IF(CalcMethod=1,IF($B$520=1,Проект!I$93,Проект!I$103),1)</f>
        <v>0</v>
      </c>
      <c r="J528" s="26">
        <f ca="1">J191*IF(CUR_I_Report&lt;&gt;$B$520,IF(CUR_I_Report=2,Проект!J$98,1/Проект!J$98),1)/J523*IF(CalcMethod=1,IF($B$520=1,Проект!J$93,Проект!J$103),1)</f>
        <v>0</v>
      </c>
      <c r="K528" s="26">
        <f ca="1">K191*IF(CUR_I_Report&lt;&gt;$B$520,IF(CUR_I_Report=2,Проект!K$98,1/Проект!K$98),1)/K523*IF(CalcMethod=1,IF($B$520=1,Проект!K$93,Проект!K$103),1)</f>
        <v>0</v>
      </c>
      <c r="M528" s="134">
        <f ca="1">SUM(F528:K528)</f>
        <v>0</v>
      </c>
    </row>
    <row r="529" spans="1:13" outlineLevel="1">
      <c r="A529" s="2" t="str">
        <f ca="1">OFFSET(Язык!$A$558,0,LANGUAGE)</f>
        <v>Стоимость чистых активов, за вычетом ден. средств</v>
      </c>
      <c r="B529" s="95"/>
      <c r="C529" s="6" t="str">
        <f ca="1">C520</f>
        <v>$</v>
      </c>
      <c r="D529" s="1" t="s">
        <v>1736</v>
      </c>
      <c r="F529" s="26">
        <f ca="1">(F315-F252)*IF(CUR_I_Report&lt;&gt;$B$520,IF(CUR_I_Report=2,Проект!F$98,1/Проект!F$98),1)/F523*IF(CalcMethod=1,IF($B$520=1,Проект!F$93,Проект!F$103),1)</f>
        <v>0</v>
      </c>
      <c r="G529" s="26">
        <f ca="1">(G315-G252)*IF(CUR_I_Report&lt;&gt;$B$520,IF(CUR_I_Report=2,Проект!G$98,1/Проект!G$98),1)/G523*IF(CalcMethod=1,IF($B$520=1,Проект!G$93,Проект!G$103),1)</f>
        <v>-101552.19791666654</v>
      </c>
      <c r="H529" s="26">
        <f ca="1">(H315-H252)*IF(CUR_I_Report&lt;&gt;$B$520,IF(CUR_I_Report=2,Проект!H$98,1/Проект!H$98),1)/H523*IF(CalcMethod=1,IF($B$520=1,Проект!H$93,Проект!H$103),1)</f>
        <v>109196.23266989106</v>
      </c>
      <c r="I529" s="26">
        <f ca="1">(I315-I252)*IF(CUR_I_Report&lt;&gt;$B$520,IF(CUR_I_Report=2,Проект!I$98,1/Проект!I$98),1)/I523*IF(CalcMethod=1,IF($B$520=1,Проект!I$93,Проект!I$103),1)</f>
        <v>460715.18187313998</v>
      </c>
      <c r="J529" s="26">
        <f ca="1">(J315-J252)*IF(CUR_I_Report&lt;&gt;$B$520,IF(CUR_I_Report=2,Проект!J$98,1/Проект!J$98),1)/J523*IF(CalcMethod=1,IF($B$520=1,Проект!J$93,Проект!J$103),1)</f>
        <v>674253.19895437208</v>
      </c>
      <c r="K529" s="26">
        <f ca="1">(K315-K252)*IF(CUR_I_Report&lt;&gt;$B$520,IF(CUR_I_Report=2,Проект!K$98,1/Проект!K$98),1)/K523*IF(CalcMethod=1,IF($B$520=1,Проект!K$93,Проект!K$103),1)</f>
        <v>414285.51146829402</v>
      </c>
    </row>
    <row r="530" spans="1:13" outlineLevel="1">
      <c r="A530" s="2" t="str">
        <f ca="1">OFFSET(Язык!$A$559,0,LANGUAGE)</f>
        <v>Посленалоговая операционная прибыль (NOPLAT)</v>
      </c>
      <c r="B530" s="95"/>
      <c r="C530" s="6" t="str">
        <f ca="1">C520</f>
        <v>$</v>
      </c>
      <c r="D530" s="1" t="s">
        <v>1315</v>
      </c>
      <c r="F530" s="26">
        <f ca="1">F71*(1-ProfitTax)*IF(CUR_I_Report&lt;&gt;$B$520,IF(CUR_I_Report=2,Проект!F$98,1/Проект!F$98),1)/F523*IF(CalcMethod=1,IF($B$520=1,Проект!F$93,Проект!F$103),1)</f>
        <v>0</v>
      </c>
      <c r="G530" s="26">
        <f ca="1">G71*(1-ProfitTax)*IF(CUR_I_Report&lt;&gt;$B$520,IF(CUR_I_Report=2,Проект!G$98,1/Проект!G$98),1)/G523*IF(CalcMethod=1,IF($B$520=1,Проект!G$93,Проект!G$103),1)</f>
        <v>367846.02380952385</v>
      </c>
      <c r="H530" s="26">
        <f ca="1">H71*(1-ProfitTax)*IF(CUR_I_Report&lt;&gt;$B$520,IF(CUR_I_Report=2,Проект!H$98,1/Проект!H$98),1)/H523*IF(CalcMethod=1,IF($B$520=1,Проект!H$93,Проект!H$103),1)</f>
        <v>787689.35317460354</v>
      </c>
      <c r="I530" s="26">
        <f ca="1">I71*(1-ProfitTax)*IF(CUR_I_Report&lt;&gt;$B$520,IF(CUR_I_Report=2,Проект!I$98,1/Проект!I$98),1)/I523*IF(CalcMethod=1,IF($B$520=1,Проект!I$93,Проект!I$103),1)</f>
        <v>541704.52579365124</v>
      </c>
      <c r="J530" s="26">
        <f ca="1">J71*(1-ProfitTax)*IF(CUR_I_Report&lt;&gt;$B$520,IF(CUR_I_Report=2,Проект!J$98,1/Проект!J$98),1)/J523*IF(CalcMethod=1,IF($B$520=1,Проект!J$93,Проект!J$103),1)</f>
        <v>508264.52535273426</v>
      </c>
      <c r="K530" s="26">
        <f ca="1">K71*(1-ProfitTax)*IF(CUR_I_Report&lt;&gt;$B$520,IF(CUR_I_Report=2,Проект!K$98,1/Проект!K$98),1)/K523*IF(CalcMethod=1,IF($B$520=1,Проект!K$93,Проект!K$103),1)</f>
        <v>475660.85105269006</v>
      </c>
    </row>
    <row r="531" spans="1:13" outlineLevel="1">
      <c r="A531" s="2"/>
      <c r="B531" s="6"/>
      <c r="C531" s="6"/>
    </row>
    <row r="532" spans="1:13" outlineLevel="1">
      <c r="A532" s="32" t="str">
        <f ca="1">OFFSET(Язык!$A$560,0,LANGUAGE)</f>
        <v>Варианты оценки стоимости бизнеса</v>
      </c>
      <c r="B532" s="6"/>
      <c r="C532" s="6"/>
    </row>
    <row r="533" spans="1:13" outlineLevel="1">
      <c r="A533" s="2"/>
      <c r="B533" s="29" t="str">
        <f ca="1">OFFSET(Язык!$A$567,0,LANGUAGE)</f>
        <v>Значение</v>
      </c>
      <c r="C533" s="29" t="str">
        <f ca="1">OFFSET(Язык!$A$568,0,LANGUAGE)</f>
        <v>Вес</v>
      </c>
    </row>
    <row r="534" spans="1:13" outlineLevel="1">
      <c r="A534" s="2" t="str">
        <f ca="1">OFFSET(Язык!$A$561,0,LANGUAGE)</f>
        <v>Оценка по NPV с учетом стоимости чистых активов</v>
      </c>
      <c r="B534" s="95">
        <f ca="1">M527+OFFSET(F529,0,PRJ_Len)</f>
        <v>1953331.5661079851</v>
      </c>
      <c r="C534" s="24">
        <v>0.5</v>
      </c>
    </row>
    <row r="535" spans="1:13" outlineLevel="1">
      <c r="A535" s="2" t="str">
        <f ca="1">OFFSET(Язык!$A$562,0,LANGUAGE)</f>
        <v>Оценка по NPV с учетом продленной стоимости:</v>
      </c>
      <c r="B535" s="95"/>
      <c r="C535" s="6"/>
    </row>
    <row r="536" spans="1:13" outlineLevel="1">
      <c r="A536" s="2" t="str">
        <f ca="1">OFFSET(Язык!$A$563,0,LANGUAGE)</f>
        <v xml:space="preserve">    рассчитанной на основе ДД</v>
      </c>
      <c r="B536" s="95">
        <f ca="1">M527+OFFSET(F528,0,PRJ_Len)/(OFFSET(F522,0,PRJ_Len)-IF($B$520=1,OFFSET(Проект!F92,0,PRJ_Len),OFFSET(Проект!F102,0,PRJ_Len)))</f>
        <v>1539046.054639691</v>
      </c>
      <c r="C536" s="24">
        <v>0</v>
      </c>
    </row>
    <row r="537" spans="1:13" outlineLevel="1">
      <c r="A537" s="2" t="str">
        <f ca="1">OFFSET(Язык!$A$564,0,LANGUAGE)</f>
        <v xml:space="preserve">    рассчитанной на основе NOPLAT</v>
      </c>
      <c r="B537" s="95">
        <f ca="1">M527+OFFSET(F530,0,PRJ_Len)/(OFFSET(F522,0,PRJ_Len)-IF($B$520=1,OFFSET(Проект!F92,0,PRJ_Len),OFFSET(Проект!F102,0,PRJ_Len)))</f>
        <v>6295654.5651665982</v>
      </c>
      <c r="C537" s="24">
        <v>0.5</v>
      </c>
    </row>
    <row r="538" spans="1:13" outlineLevel="1">
      <c r="A538" s="2" t="str">
        <f ca="1">OFFSET(Язык!$A$565,0,LANGUAGE)</f>
        <v>Оценка на основе ДД с учетом продленной стоимости</v>
      </c>
      <c r="B538" s="95">
        <f ca="1">M528+OFFSET(F528,0,PRJ_Len)/(OFFSET(F522,0,PRJ_Len)-IF($B$520=1,OFFSET(Проект!F92,0,PRJ_Len),OFFSET(Проект!F102,0,PRJ_Len)))</f>
        <v>0</v>
      </c>
      <c r="C538" s="24">
        <v>0</v>
      </c>
    </row>
    <row r="539" spans="1:13" outlineLevel="1">
      <c r="A539" s="2"/>
      <c r="B539" s="26"/>
      <c r="C539" s="2"/>
    </row>
    <row r="540" spans="1:13" outlineLevel="1">
      <c r="A540" s="2" t="str">
        <f ca="1">OFFSET(Язык!$A$566,0,LANGUAGE)</f>
        <v>Средняя оценка стоимости</v>
      </c>
      <c r="B540" s="53">
        <f ca="1">(B534*C534+B536*C536+B537*C537+B538*C538)/(C534+C536+C537+C538)</f>
        <v>4124493.0656372914</v>
      </c>
      <c r="C540" s="6" t="str">
        <f ca="1">C520</f>
        <v>$</v>
      </c>
    </row>
    <row r="541" spans="1:13" outlineLevel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</row>
    <row r="542" spans="1:13" ht="12" outlineLevel="1" thickBot="1"/>
    <row r="543" spans="1:13" s="2" customFormat="1" ht="15.95" customHeight="1" thickTop="1" thickBot="1">
      <c r="A543" s="18" t="str">
        <f ca="1">OFFSET(Язык!$A$879,0,LANGUAGE)</f>
        <v>ОСНОВНЫЕ ПОКАЗАТЕЛИ КОМПАНИИ</v>
      </c>
      <c r="B543" s="19"/>
      <c r="C543" s="19"/>
      <c r="D543" s="18"/>
      <c r="E543" s="18"/>
      <c r="F543" s="19" t="str">
        <f t="shared" ref="F543:K543" si="97">PeriodTitle</f>
        <v>"0"</v>
      </c>
      <c r="G543" s="19">
        <f t="shared" si="97"/>
        <v>2013</v>
      </c>
      <c r="H543" s="19">
        <f t="shared" si="97"/>
        <v>2014</v>
      </c>
      <c r="I543" s="19">
        <f t="shared" si="97"/>
        <v>2015</v>
      </c>
      <c r="J543" s="19">
        <f t="shared" si="97"/>
        <v>2016</v>
      </c>
      <c r="K543" s="19">
        <f t="shared" si="97"/>
        <v>2017</v>
      </c>
      <c r="L543" s="19"/>
      <c r="M543" s="23" t="str">
        <f ca="1">OFFSET(Язык!$A$77,0,LANGUAGE)</f>
        <v>ИТОГО</v>
      </c>
    </row>
    <row r="544" spans="1:13" ht="12" outlineLevel="1" thickTop="1"/>
    <row r="545" spans="1:13" outlineLevel="1">
      <c r="A545" s="2" t="str">
        <f ca="1">OFFSET(Язык!$A$571,0,LANGUAGE)</f>
        <v>Выручка от реализации (без НДС)</v>
      </c>
      <c r="B545" s="6"/>
      <c r="C545" s="6">
        <f>CUR_Report</f>
        <v>0</v>
      </c>
      <c r="D545" s="1" t="s">
        <v>1315</v>
      </c>
      <c r="G545" s="134">
        <f t="shared" ref="G545:J545" ca="1" si="98">G49</f>
        <v>2272098.2142857141</v>
      </c>
      <c r="H545" s="134">
        <f t="shared" ca="1" si="98"/>
        <v>4998616.0714285718</v>
      </c>
      <c r="I545" s="134">
        <f t="shared" ca="1" si="98"/>
        <v>5498477.6785714291</v>
      </c>
      <c r="J545" s="134">
        <f t="shared" ca="1" si="98"/>
        <v>6048325.4464285728</v>
      </c>
      <c r="K545" s="134">
        <f t="shared" ref="K545" ca="1" si="99">K49</f>
        <v>6653157.991071431</v>
      </c>
      <c r="L545" s="134"/>
      <c r="M545" s="136">
        <f ca="1">SUM(F545:K545)</f>
        <v>25470675.401785716</v>
      </c>
    </row>
    <row r="546" spans="1:13" outlineLevel="1">
      <c r="A546" s="2" t="str">
        <f ca="1">OFFSET(Язык!$A$572,0,LANGUAGE)</f>
        <v>Прибыль до налога, процентов и амортизации (EBITDA)</v>
      </c>
      <c r="B546" s="6"/>
      <c r="C546" s="6">
        <f>CUR_Report</f>
        <v>0</v>
      </c>
      <c r="D546" s="1" t="s">
        <v>1315</v>
      </c>
      <c r="G546" s="134">
        <f t="shared" ref="G546:J546" ca="1" si="100">G83+G75+G63</f>
        <v>551769.03571428568</v>
      </c>
      <c r="H546" s="134">
        <f t="shared" ca="1" si="100"/>
        <v>1695953.2151785719</v>
      </c>
      <c r="I546" s="134">
        <f t="shared" ca="1" si="100"/>
        <v>1426326.0569642866</v>
      </c>
      <c r="J546" s="134">
        <f t="shared" ca="1" si="100"/>
        <v>1580338.9041785728</v>
      </c>
      <c r="K546" s="134">
        <f t="shared" ref="K546" ca="1" si="101">K83+K75+K63</f>
        <v>1749085.7387928583</v>
      </c>
      <c r="L546" s="134"/>
      <c r="M546" s="136">
        <f ca="1">SUM(F546:K546)</f>
        <v>7003472.9508285755</v>
      </c>
    </row>
    <row r="547" spans="1:13" outlineLevel="1">
      <c r="A547" s="2" t="str">
        <f ca="1">OFFSET(Язык!$A$573,0,LANGUAGE)</f>
        <v>Прибыль до налога и процентов по кредитам (EBIT)</v>
      </c>
      <c r="B547" s="6"/>
      <c r="C547" s="6">
        <f>CUR_Report</f>
        <v>0</v>
      </c>
      <c r="D547" s="1" t="s">
        <v>1315</v>
      </c>
      <c r="G547" s="134">
        <f t="shared" ref="G547:J547" ca="1" si="102">G83+G75</f>
        <v>551769.03571428568</v>
      </c>
      <c r="H547" s="134">
        <f t="shared" ca="1" si="102"/>
        <v>1392636.2508928576</v>
      </c>
      <c r="I547" s="134">
        <f t="shared" ca="1" si="102"/>
        <v>1123009.0926785723</v>
      </c>
      <c r="J547" s="134">
        <f t="shared" ca="1" si="102"/>
        <v>1277021.9398928585</v>
      </c>
      <c r="K547" s="134">
        <f t="shared" ref="K547" ca="1" si="103">K83+K75</f>
        <v>1445768.774507144</v>
      </c>
      <c r="L547" s="134"/>
      <c r="M547" s="136">
        <f ca="1">SUM(F547:K547)</f>
        <v>5790205.0936857183</v>
      </c>
    </row>
    <row r="548" spans="1:13" outlineLevel="1">
      <c r="A548" s="2" t="str">
        <f ca="1">OFFSET(Язык!$A$574,0,LANGUAGE)</f>
        <v>Чистая прибыль</v>
      </c>
      <c r="B548" s="6"/>
      <c r="C548" s="6">
        <f>CUR_Report</f>
        <v>0</v>
      </c>
      <c r="D548" s="1" t="s">
        <v>1315</v>
      </c>
      <c r="G548" s="134">
        <f t="shared" ref="G548:J548" ca="1" si="104">G87</f>
        <v>441415.22857142857</v>
      </c>
      <c r="H548" s="134">
        <f t="shared" ca="1" si="104"/>
        <v>788637.000714286</v>
      </c>
      <c r="I548" s="134">
        <f t="shared" ca="1" si="104"/>
        <v>681575.27414285787</v>
      </c>
      <c r="J548" s="134">
        <f t="shared" ca="1" si="104"/>
        <v>913425.5519142868</v>
      </c>
      <c r="K548" s="134">
        <f t="shared" ref="K548" ca="1" si="105">K87</f>
        <v>1156615.0196057153</v>
      </c>
      <c r="L548" s="134"/>
      <c r="M548" s="136">
        <f ca="1">SUM(F548:K548)</f>
        <v>3981668.0749485749</v>
      </c>
    </row>
    <row r="549" spans="1:13" outlineLevel="1">
      <c r="A549" s="2" t="str">
        <f ca="1">OFFSET(Язык!$A$575,0,LANGUAGE)</f>
        <v>Дивиденды</v>
      </c>
      <c r="B549" s="6"/>
      <c r="C549" s="6">
        <f>CUR_Report</f>
        <v>0</v>
      </c>
      <c r="D549" s="1" t="s">
        <v>1315</v>
      </c>
      <c r="G549" s="134">
        <f t="shared" ref="G549:J549" ca="1" si="106">G89</f>
        <v>0</v>
      </c>
      <c r="H549" s="134">
        <f t="shared" ca="1" si="106"/>
        <v>0</v>
      </c>
      <c r="I549" s="134">
        <f t="shared" ca="1" si="106"/>
        <v>0</v>
      </c>
      <c r="J549" s="134">
        <f t="shared" ca="1" si="106"/>
        <v>0</v>
      </c>
      <c r="K549" s="134">
        <f t="shared" ref="K549" ca="1" si="107">K89</f>
        <v>0</v>
      </c>
      <c r="L549" s="134"/>
      <c r="M549" s="136">
        <f ca="1">SUM(F549:K549)</f>
        <v>0</v>
      </c>
    </row>
    <row r="550" spans="1:13" outlineLevel="1">
      <c r="A550" s="43"/>
      <c r="B550" s="41"/>
      <c r="C550" s="41"/>
    </row>
    <row r="551" spans="1:13" outlineLevel="1">
      <c r="A551" s="2"/>
      <c r="B551" s="6"/>
      <c r="C551" s="6"/>
    </row>
    <row r="552" spans="1:13" outlineLevel="1">
      <c r="A552" s="2" t="str">
        <f ca="1">OFFSET(Язык!$A$576,0,LANGUAGE)</f>
        <v>Инвестиции в постоянные активы</v>
      </c>
      <c r="B552" s="6"/>
      <c r="C552" s="6">
        <f>CUR_Report</f>
        <v>0</v>
      </c>
      <c r="D552" s="1" t="s">
        <v>1315</v>
      </c>
      <c r="F552" s="134">
        <f t="shared" ref="F552:J552" ca="1" si="108">F168+F170+F172</f>
        <v>0</v>
      </c>
      <c r="G552" s="134">
        <f t="shared" ca="1" si="108"/>
        <v>-2906000</v>
      </c>
      <c r="H552" s="134">
        <f t="shared" ca="1" si="108"/>
        <v>0</v>
      </c>
      <c r="I552" s="134">
        <f t="shared" ca="1" si="108"/>
        <v>0</v>
      </c>
      <c r="J552" s="134">
        <f t="shared" ca="1" si="108"/>
        <v>0</v>
      </c>
      <c r="K552" s="134">
        <f t="shared" ref="K552" ca="1" si="109">K168+K170+K172</f>
        <v>0</v>
      </c>
      <c r="L552" s="134"/>
      <c r="M552" s="136">
        <f ca="1">SUM(F552:K552)</f>
        <v>-2906000</v>
      </c>
    </row>
    <row r="553" spans="1:13" outlineLevel="1">
      <c r="A553" s="2" t="str">
        <f ca="1">OFFSET(Язык!$A$577,0,LANGUAGE)</f>
        <v>Инвестиции в чистый оборотный капитал</v>
      </c>
      <c r="B553" s="6"/>
      <c r="C553" s="6">
        <f>CUR_Report</f>
        <v>0</v>
      </c>
      <c r="D553" s="1" t="s">
        <v>1315</v>
      </c>
      <c r="F553" s="134">
        <f t="shared" ref="F553:J553" ca="1" si="110">F174</f>
        <v>0</v>
      </c>
      <c r="G553" s="134">
        <f t="shared" ca="1" si="110"/>
        <v>84629.656944444461</v>
      </c>
      <c r="H553" s="134">
        <f t="shared" ca="1" si="110"/>
        <v>42207.909756944544</v>
      </c>
      <c r="I553" s="134">
        <f t="shared" ca="1" si="110"/>
        <v>12520.968371031806</v>
      </c>
      <c r="J553" s="134">
        <f t="shared" ca="1" si="110"/>
        <v>52013.98071706359</v>
      </c>
      <c r="K553" s="134">
        <f t="shared" ref="K553" ca="1" si="111">K174</f>
        <v>54420.743654841237</v>
      </c>
      <c r="L553" s="134"/>
      <c r="M553" s="136">
        <f ca="1">SUM(F553:K553)</f>
        <v>245793.25944432564</v>
      </c>
    </row>
    <row r="554" spans="1:13" outlineLevel="1">
      <c r="A554" s="43"/>
      <c r="B554" s="41"/>
      <c r="C554" s="41"/>
    </row>
    <row r="555" spans="1:13" outlineLevel="1">
      <c r="A555" s="2"/>
      <c r="B555" s="6"/>
      <c r="C555" s="6"/>
    </row>
    <row r="556" spans="1:13" outlineLevel="1">
      <c r="A556" s="2" t="str">
        <f ca="1">OFFSET(Язык!$A$578,0,LANGUAGE)</f>
        <v>Ставка сравнения (дисконтирования)</v>
      </c>
      <c r="B556" s="77">
        <f>B456</f>
        <v>0.2</v>
      </c>
      <c r="C556" s="6"/>
    </row>
    <row r="557" spans="1:13" outlineLevel="1">
      <c r="A557" s="2" t="str">
        <f ca="1">OFFSET(Язык!$A$579,0,LANGUAGE)</f>
        <v>NPV</v>
      </c>
      <c r="B557" s="95">
        <f ca="1">B479</f>
        <v>1322789.1101952468</v>
      </c>
      <c r="C557" s="6">
        <f>C407</f>
        <v>0</v>
      </c>
    </row>
    <row r="558" spans="1:13" outlineLevel="1">
      <c r="A558" s="2" t="str">
        <f ca="1">OFFSET(Язык!$A$580,0,LANGUAGE)</f>
        <v>IRR</v>
      </c>
      <c r="B558" s="103">
        <f ca="1">B482</f>
        <v>0.54391186856886908</v>
      </c>
      <c r="C558" s="6"/>
    </row>
    <row r="559" spans="1:13" outlineLevel="1">
      <c r="A559" s="2" t="str">
        <f ca="1">OFFSET(Язык!$A$581,0,LANGUAGE)</f>
        <v>Дисконтированный срок окупаемости</v>
      </c>
      <c r="B559" s="94">
        <f ca="1">B480</f>
        <v>2.9494276472040957</v>
      </c>
      <c r="C559" s="6">
        <f>C430</f>
        <v>0</v>
      </c>
    </row>
    <row r="560" spans="1:13" outlineLevel="1">
      <c r="A560" s="43"/>
      <c r="B560" s="41"/>
      <c r="C560" s="41"/>
    </row>
    <row r="561" spans="1:13" outlineLevel="1">
      <c r="A561" s="2"/>
      <c r="B561" s="6"/>
      <c r="C561" s="6"/>
    </row>
    <row r="562" spans="1:13" outlineLevel="1">
      <c r="A562" s="2" t="str">
        <f ca="1">OFFSET(Язык!$A$582,0,LANGUAGE)</f>
        <v>Собственные средства и целевое финансирование</v>
      </c>
      <c r="B562" s="6"/>
      <c r="C562" s="6">
        <f>CUR_Report</f>
        <v>0</v>
      </c>
      <c r="D562" s="1" t="s">
        <v>1315</v>
      </c>
      <c r="F562" s="134">
        <f t="shared" ref="F562:J562" ca="1" si="112">F181+F183</f>
        <v>0</v>
      </c>
      <c r="G562" s="134">
        <f t="shared" ca="1" si="112"/>
        <v>0</v>
      </c>
      <c r="H562" s="134">
        <f t="shared" ca="1" si="112"/>
        <v>0</v>
      </c>
      <c r="I562" s="134">
        <f t="shared" ca="1" si="112"/>
        <v>0</v>
      </c>
      <c r="J562" s="134">
        <f t="shared" ca="1" si="112"/>
        <v>0</v>
      </c>
      <c r="K562" s="134">
        <f t="shared" ref="K562" ca="1" si="113">K181+K183</f>
        <v>0</v>
      </c>
      <c r="L562" s="134"/>
      <c r="M562" s="136">
        <f ca="1">SUM(F562:K562)</f>
        <v>0</v>
      </c>
    </row>
    <row r="563" spans="1:13" outlineLevel="1">
      <c r="A563" s="2"/>
      <c r="B563" s="6"/>
      <c r="C563" s="6"/>
    </row>
    <row r="564" spans="1:13" outlineLevel="1">
      <c r="A564" s="2" t="str">
        <f ca="1">OFFSET(Язык!$A$583,0,LANGUAGE)</f>
        <v>Привлечение кредитов</v>
      </c>
      <c r="B564" s="6"/>
      <c r="C564" s="6">
        <f>CUR_Report</f>
        <v>0</v>
      </c>
      <c r="D564" s="1" t="s">
        <v>1315</v>
      </c>
      <c r="F564" s="134">
        <f t="shared" ref="F564:J564" ca="1" si="114">F185</f>
        <v>0</v>
      </c>
      <c r="G564" s="134">
        <f t="shared" ca="1" si="114"/>
        <v>2906000</v>
      </c>
      <c r="H564" s="134">
        <f t="shared" ca="1" si="114"/>
        <v>0</v>
      </c>
      <c r="I564" s="134">
        <f t="shared" ca="1" si="114"/>
        <v>0</v>
      </c>
      <c r="J564" s="134">
        <f t="shared" ca="1" si="114"/>
        <v>0</v>
      </c>
      <c r="K564" s="134">
        <f t="shared" ref="K564" ca="1" si="115">K185</f>
        <v>0</v>
      </c>
      <c r="L564" s="134"/>
      <c r="M564" s="136">
        <f ca="1">SUM(F564:K564)</f>
        <v>2906000</v>
      </c>
    </row>
    <row r="565" spans="1:13" outlineLevel="1">
      <c r="A565" s="2" t="str">
        <f ca="1">OFFSET(Язык!$A$584,0,LANGUAGE)</f>
        <v>Погашение задолженности</v>
      </c>
      <c r="B565" s="6"/>
      <c r="C565" s="6">
        <f>CUR_Report</f>
        <v>0</v>
      </c>
      <c r="D565" s="1" t="s">
        <v>1315</v>
      </c>
      <c r="F565" s="134">
        <f t="shared" ref="F565:J565" ca="1" si="116">F187</f>
        <v>0</v>
      </c>
      <c r="G565" s="134">
        <f t="shared" ca="1" si="116"/>
        <v>0</v>
      </c>
      <c r="H565" s="134">
        <f t="shared" ca="1" si="116"/>
        <v>-970000</v>
      </c>
      <c r="I565" s="134">
        <f t="shared" ca="1" si="116"/>
        <v>-970000</v>
      </c>
      <c r="J565" s="134">
        <f t="shared" ca="1" si="116"/>
        <v>-966000</v>
      </c>
      <c r="K565" s="134">
        <f t="shared" ref="K565" ca="1" si="117">K187</f>
        <v>0</v>
      </c>
      <c r="L565" s="134"/>
      <c r="M565" s="136">
        <f ca="1">SUM(F565:K565)</f>
        <v>-2906000</v>
      </c>
    </row>
    <row r="566" spans="1:13" outlineLevel="1">
      <c r="A566" s="2" t="str">
        <f ca="1">OFFSET(Язык!$A$585,0,LANGUAGE)</f>
        <v>Выплаты процентов по кредитам</v>
      </c>
      <c r="B566" s="6"/>
      <c r="C566" s="6">
        <f>CUR_Report</f>
        <v>0</v>
      </c>
      <c r="D566" s="1" t="s">
        <v>1315</v>
      </c>
      <c r="F566" s="134">
        <f t="shared" ref="F566:J566" ca="1" si="118">F159</f>
        <v>0</v>
      </c>
      <c r="G566" s="134">
        <f t="shared" ca="1" si="118"/>
        <v>0</v>
      </c>
      <c r="H566" s="134">
        <f t="shared" ca="1" si="118"/>
        <v>-406840.00000000006</v>
      </c>
      <c r="I566" s="134">
        <f t="shared" ca="1" si="118"/>
        <v>-271040</v>
      </c>
      <c r="J566" s="134">
        <f t="shared" ca="1" si="118"/>
        <v>-135240</v>
      </c>
      <c r="K566" s="134">
        <f t="shared" ref="K566" ca="1" si="119">K159</f>
        <v>0</v>
      </c>
      <c r="L566" s="134"/>
      <c r="M566" s="136">
        <f ca="1">SUM(F566:K566)</f>
        <v>-813120</v>
      </c>
    </row>
    <row r="567" spans="1:13" outlineLevel="1">
      <c r="A567" s="2"/>
      <c r="B567" s="6"/>
      <c r="C567" s="6"/>
    </row>
    <row r="568" spans="1:13" outlineLevel="1">
      <c r="A568" s="43" t="str">
        <f ca="1">OFFSET(Язык!$A$586,0,LANGUAGE)</f>
        <v>Общий коэффициент покрытия долга</v>
      </c>
      <c r="B568" s="41"/>
      <c r="C568" s="41"/>
      <c r="D568" s="170" t="s">
        <v>1746</v>
      </c>
      <c r="E568" s="170"/>
      <c r="F568" s="170"/>
      <c r="G568" s="171" t="str">
        <f t="shared" ref="G568:J568" ca="1" si="120">G372</f>
        <v>-</v>
      </c>
      <c r="H568" s="171">
        <f t="shared" ca="1" si="120"/>
        <v>1.3453698451629001</v>
      </c>
      <c r="I568" s="171">
        <f t="shared" ca="1" si="120"/>
        <v>1.022088898665316</v>
      </c>
      <c r="J568" s="171">
        <f t="shared" ca="1" si="120"/>
        <v>1.2749232655162042</v>
      </c>
      <c r="K568" s="171" t="str">
        <f t="shared" ref="K568" ca="1" si="121">K372</f>
        <v>-</v>
      </c>
      <c r="L568" s="170"/>
      <c r="M568" s="170"/>
    </row>
  </sheetData>
  <phoneticPr fontId="0" type="noConversion"/>
  <dataValidations count="2">
    <dataValidation type="whole" allowBlank="1" showInputMessage="1" showErrorMessage="1" sqref="B453">
      <formula1>1</formula1>
      <formula2>3</formula2>
    </dataValidation>
    <dataValidation type="whole" allowBlank="1" showInputMessage="1" showErrorMessage="1" sqref="B454">
      <formula1>0</formula1>
      <formula2>1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L99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5" width="1.5" style="1" hidden="1" customWidth="1"/>
    <col min="6" max="12" width="11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OFFSET(Язык!$A$654,0,LANGUAGE)</f>
        <v>Анализ чувствительности проекта</v>
      </c>
      <c r="B2" s="6"/>
      <c r="C2" s="6"/>
    </row>
    <row r="3" spans="1:12" ht="12" thickBot="1"/>
    <row r="4" spans="1:12" s="2" customFormat="1" ht="15.95" customHeight="1" thickTop="1" thickBot="1">
      <c r="A4" s="18" t="str">
        <f ca="1">OFFSET(Язык!$A$638,0,LANGUAGE)</f>
        <v>АНАЛИЗ ЧУВСТВИТЕЛЬНОСТИ</v>
      </c>
      <c r="B4" s="19"/>
      <c r="C4" s="19"/>
      <c r="D4" s="18"/>
      <c r="E4" s="18"/>
      <c r="F4" s="19"/>
      <c r="G4" s="19"/>
      <c r="H4" s="19"/>
      <c r="I4" s="19"/>
      <c r="J4" s="19"/>
      <c r="K4" s="19"/>
      <c r="L4" s="19"/>
    </row>
    <row r="5" spans="1:12" ht="12" thickTop="1"/>
    <row r="6" spans="1:12">
      <c r="A6" s="1" t="str">
        <f ca="1">OFFSET(Язык!$A$639,0,LANGUAGE)</f>
        <v>Анализ выполнен для проекта:</v>
      </c>
    </row>
    <row r="7" spans="1:12">
      <c r="A7" s="48" t="str">
        <f ca="1">INDIRECT(E7&amp;"!PRJ_Name")</f>
        <v>Ресторан восточной кухни</v>
      </c>
      <c r="E7" s="1" t="s">
        <v>159</v>
      </c>
    </row>
    <row r="8" spans="1:12" ht="22.5">
      <c r="A8" s="47"/>
      <c r="B8" s="198" t="str">
        <f ca="1">OFFSET(Язык!$A$640,0,LANGUAGE)</f>
        <v>Начальное значение</v>
      </c>
      <c r="C8" s="198" t="str">
        <f ca="1">OFFSET(Язык!$A$641,0,LANGUAGE)</f>
        <v>Шаг изменения</v>
      </c>
      <c r="D8" s="47"/>
      <c r="E8" s="47"/>
      <c r="F8" s="47"/>
      <c r="G8" s="47"/>
      <c r="H8" s="47"/>
      <c r="I8" s="47"/>
      <c r="J8" s="47"/>
      <c r="K8" s="47"/>
      <c r="L8" s="47"/>
    </row>
    <row r="9" spans="1:12">
      <c r="A9" s="213" t="str">
        <f ca="1">OFFSET(A91,SENS_Parameter,0)</f>
        <v>Уровень цен на реализуемую продукцию</v>
      </c>
      <c r="B9" s="199">
        <v>0.85</v>
      </c>
      <c r="C9" s="199">
        <v>0.05</v>
      </c>
      <c r="E9" s="1">
        <v>1</v>
      </c>
      <c r="F9" s="206">
        <f>B9</f>
        <v>0.85</v>
      </c>
      <c r="G9" s="206">
        <f t="shared" ref="G9:L9" si="0">F9+$C9</f>
        <v>0.9</v>
      </c>
      <c r="H9" s="206">
        <f t="shared" si="0"/>
        <v>0.95000000000000007</v>
      </c>
      <c r="I9" s="206">
        <f t="shared" si="0"/>
        <v>1</v>
      </c>
      <c r="J9" s="206">
        <f t="shared" si="0"/>
        <v>1.05</v>
      </c>
      <c r="K9" s="206">
        <f t="shared" si="0"/>
        <v>1.1000000000000001</v>
      </c>
      <c r="L9" s="206">
        <f t="shared" si="0"/>
        <v>1.1500000000000001</v>
      </c>
    </row>
    <row r="11" spans="1:12" s="47" customFormat="1" ht="15.95" customHeight="1">
      <c r="A11" s="32" t="str">
        <f ca="1">OFFSET(Язык!$A$642,0,LANGUAGE)</f>
        <v>Результаты анализа:</v>
      </c>
    </row>
    <row r="13" spans="1:12">
      <c r="A13" s="1" t="str">
        <f ca="1">OFFSET(Язык!$A$643,0,LANGUAGE)</f>
        <v>Чистая приведенная стоимость (NPV)</v>
      </c>
      <c r="E13" s="1" t="s">
        <v>704</v>
      </c>
      <c r="F13" s="208">
        <v>-199685.18873572949</v>
      </c>
      <c r="G13" s="208">
        <v>-109279.86664304936</v>
      </c>
      <c r="H13" s="208">
        <v>-23231.699093764459</v>
      </c>
      <c r="I13" s="208">
        <v>61910.270299061114</v>
      </c>
      <c r="J13" s="208">
        <v>146585.67669976616</v>
      </c>
      <c r="K13" s="208">
        <v>231057.94735432602</v>
      </c>
      <c r="L13" s="208">
        <v>315046.54707789992</v>
      </c>
    </row>
    <row r="14" spans="1:12">
      <c r="A14" s="1" t="str">
        <f ca="1">OFFSET(Язык!$A$644,0,LANGUAGE)</f>
        <v>Внутренняя норма рентабельности (IRR)</v>
      </c>
      <c r="E14" s="1" t="s">
        <v>2172</v>
      </c>
      <c r="F14" s="209">
        <v>7.6698161590088354E-2</v>
      </c>
      <c r="G14" s="209">
        <v>8.7549734041597826E-2</v>
      </c>
      <c r="H14" s="209">
        <v>9.7401620399570898E-2</v>
      </c>
      <c r="I14" s="209">
        <v>0.1068043533027967</v>
      </c>
      <c r="J14" s="209">
        <v>0.11584257941077936</v>
      </c>
      <c r="K14" s="209">
        <v>0.12457593549307688</v>
      </c>
      <c r="L14" s="209">
        <v>0.13299686855097104</v>
      </c>
    </row>
    <row r="15" spans="1:12">
      <c r="A15" s="1" t="str">
        <f ca="1">OFFSET(Язык!$A$645,0,LANGUAGE)</f>
        <v>Дисконтированный срок окупаемости (PBP)</v>
      </c>
      <c r="E15" s="1" t="s">
        <v>436</v>
      </c>
      <c r="F15" s="211" t="s">
        <v>1073</v>
      </c>
      <c r="G15" s="211" t="s">
        <v>1073</v>
      </c>
      <c r="H15" s="211" t="s">
        <v>1073</v>
      </c>
      <c r="I15" s="211">
        <v>14.339094637191257</v>
      </c>
      <c r="J15" s="211">
        <v>13.52950090782152</v>
      </c>
      <c r="K15" s="211">
        <v>12.813865127502662</v>
      </c>
      <c r="L15" s="211">
        <v>12.179452085826078</v>
      </c>
    </row>
    <row r="16" spans="1:12">
      <c r="A16" s="1" t="str">
        <f ca="1">OFFSET(Язык!$A$646,0,LANGUAGE)</f>
        <v>Норма доходности инвестиционных затрат</v>
      </c>
      <c r="E16" s="1" t="s">
        <v>437</v>
      </c>
      <c r="F16" s="208">
        <v>-0.15062066130328539</v>
      </c>
      <c r="G16" s="208">
        <v>-8.2858990963950052E-2</v>
      </c>
      <c r="H16" s="208">
        <v>-1.7656575630236971E-2</v>
      </c>
      <c r="I16" s="208">
        <v>4.7157362556414999E-2</v>
      </c>
      <c r="J16" s="208">
        <v>0.11190699844700271</v>
      </c>
      <c r="K16" s="208">
        <v>0.17679683548936626</v>
      </c>
      <c r="L16" s="208">
        <v>0.241620916624983</v>
      </c>
    </row>
    <row r="17" spans="1:12">
      <c r="A17" s="1" t="str">
        <f ca="1">OFFSET(Язык!$A$647,0,LANGUAGE)</f>
        <v>Минимальный остаток денежных средств на счете</v>
      </c>
      <c r="E17" s="1" t="s">
        <v>438</v>
      </c>
      <c r="F17" s="208">
        <v>-1042235.5856650893</v>
      </c>
      <c r="G17" s="208">
        <v>-979905.07737499988</v>
      </c>
      <c r="H17" s="208">
        <v>-917574.56908491044</v>
      </c>
      <c r="I17" s="208">
        <v>-856288.83456232131</v>
      </c>
      <c r="J17" s="208">
        <v>-795788.26825973205</v>
      </c>
      <c r="K17" s="208">
        <v>-735287.70195714268</v>
      </c>
      <c r="L17" s="208">
        <v>-675310.14489205321</v>
      </c>
    </row>
    <row r="18" spans="1:12">
      <c r="A18" s="1" t="str">
        <f ca="1">OFFSET(Язык!$A$648,0,LANGUAGE)</f>
        <v>Суммарная чистая прибыль за период анализа</v>
      </c>
      <c r="E18" s="1" t="s">
        <v>439</v>
      </c>
      <c r="F18" s="208">
        <v>1083671.0310041155</v>
      </c>
      <c r="G18" s="208">
        <v>1278742.8555672001</v>
      </c>
      <c r="H18" s="208">
        <v>1473187.5759956879</v>
      </c>
      <c r="I18" s="208">
        <v>1667632.2964241756</v>
      </c>
      <c r="J18" s="208">
        <v>1862077.0168526634</v>
      </c>
      <c r="K18" s="208">
        <v>2056521.7372811513</v>
      </c>
      <c r="L18" s="208">
        <v>2250966.4577096393</v>
      </c>
    </row>
    <row r="19" spans="1:12">
      <c r="A19" s="1" t="str">
        <f ca="1">OFFSET(Язык!$A$649,0,LANGUAGE)</f>
        <v>Потребность в инвестициях</v>
      </c>
      <c r="E19" s="1" t="s">
        <v>440</v>
      </c>
      <c r="F19" s="210">
        <v>1427809.1455423129</v>
      </c>
      <c r="G19" s="210">
        <v>1402536.5748707487</v>
      </c>
      <c r="H19" s="210">
        <v>1394837.8159048453</v>
      </c>
      <c r="I19" s="210">
        <v>1388365.4546787108</v>
      </c>
      <c r="J19" s="210">
        <v>1381893.0934525765</v>
      </c>
      <c r="K19" s="210">
        <v>1375420.7322264421</v>
      </c>
      <c r="L19" s="210">
        <v>1368948.3710003078</v>
      </c>
    </row>
    <row r="20" spans="1:12">
      <c r="A20" s="170" t="str">
        <f ca="1">OFFSET(Язык!$A$650,0,LANGUAGE)</f>
        <v>Оценка стоимости бизнеса</v>
      </c>
      <c r="B20" s="170"/>
      <c r="C20" s="170"/>
      <c r="D20" s="170"/>
      <c r="E20" s="170" t="s">
        <v>670</v>
      </c>
      <c r="F20" s="214" t="e">
        <v>#DIV/0!</v>
      </c>
      <c r="G20" s="214" t="e">
        <v>#DIV/0!</v>
      </c>
      <c r="H20" s="214" t="e">
        <v>#DIV/0!</v>
      </c>
      <c r="I20" s="214" t="e">
        <v>#DIV/0!</v>
      </c>
      <c r="J20" s="214" t="e">
        <v>#DIV/0!</v>
      </c>
      <c r="K20" s="214" t="e">
        <v>#DIV/0!</v>
      </c>
      <c r="L20" s="214" t="e">
        <v>#DIV/0!</v>
      </c>
    </row>
    <row r="21" spans="1:12">
      <c r="F21" s="208"/>
      <c r="G21" s="208"/>
      <c r="H21" s="208"/>
      <c r="I21" s="208"/>
      <c r="J21" s="208"/>
      <c r="K21" s="208"/>
      <c r="L21" s="208"/>
    </row>
    <row r="22" spans="1:12">
      <c r="A22" s="135" t="str">
        <f ca="1">OFFSET(Язык!$A$651,0,LANGUAGE)</f>
        <v>График чувствительности проекта</v>
      </c>
      <c r="F22" s="208"/>
      <c r="G22" s="208"/>
      <c r="H22" s="208"/>
      <c r="I22" s="208"/>
      <c r="J22" s="208"/>
      <c r="K22" s="208"/>
      <c r="L22" s="208"/>
    </row>
    <row r="23" spans="1:12" ht="17.25" customHeight="1">
      <c r="A23" s="212" t="str">
        <f ca="1">OFFSET(A13,$E23-1,0)</f>
        <v>Чистая приведенная стоимость (NPV)</v>
      </c>
      <c r="B23" s="135"/>
      <c r="C23" s="135"/>
      <c r="D23" s="135"/>
      <c r="E23" s="135">
        <v>1</v>
      </c>
      <c r="F23" s="212">
        <f ca="1">OFFSET(F13,$E23-1,0)</f>
        <v>-199685.18873572949</v>
      </c>
      <c r="G23" s="212">
        <f t="shared" ref="G23:L23" ca="1" si="1">OFFSET(G13,$E23-1,0)</f>
        <v>-109279.86664304936</v>
      </c>
      <c r="H23" s="212">
        <f t="shared" ca="1" si="1"/>
        <v>-23231.699093764459</v>
      </c>
      <c r="I23" s="212">
        <f t="shared" ca="1" si="1"/>
        <v>61910.270299061114</v>
      </c>
      <c r="J23" s="212">
        <f t="shared" ca="1" si="1"/>
        <v>146585.67669976616</v>
      </c>
      <c r="K23" s="212">
        <f t="shared" ca="1" si="1"/>
        <v>231057.94735432602</v>
      </c>
      <c r="L23" s="212">
        <f t="shared" ca="1" si="1"/>
        <v>315046.54707789992</v>
      </c>
    </row>
    <row r="24" spans="1:12">
      <c r="F24" s="208"/>
      <c r="G24" s="208"/>
      <c r="H24" s="208"/>
      <c r="I24" s="208"/>
      <c r="J24" s="208"/>
      <c r="K24" s="208"/>
      <c r="L24" s="208"/>
    </row>
    <row r="25" spans="1:12">
      <c r="F25" s="208"/>
      <c r="G25" s="208"/>
      <c r="H25" s="208"/>
      <c r="I25" s="208"/>
      <c r="J25" s="208"/>
      <c r="K25" s="208"/>
      <c r="L25" s="208"/>
    </row>
    <row r="26" spans="1:12">
      <c r="F26" s="208"/>
      <c r="G26" s="208"/>
      <c r="H26" s="208"/>
      <c r="I26" s="208"/>
      <c r="J26" s="208"/>
      <c r="K26" s="208"/>
      <c r="L26" s="208"/>
    </row>
    <row r="27" spans="1:12">
      <c r="F27" s="208"/>
      <c r="G27" s="208"/>
      <c r="H27" s="208"/>
      <c r="I27" s="208"/>
      <c r="J27" s="208"/>
      <c r="K27" s="208"/>
      <c r="L27" s="208"/>
    </row>
    <row r="28" spans="1:12">
      <c r="F28" s="208"/>
      <c r="G28" s="208"/>
      <c r="H28" s="208"/>
      <c r="I28" s="208"/>
      <c r="J28" s="208"/>
      <c r="K28" s="208"/>
      <c r="L28" s="208"/>
    </row>
    <row r="29" spans="1:12">
      <c r="F29" s="208"/>
      <c r="G29" s="208"/>
      <c r="H29" s="208"/>
      <c r="I29" s="208"/>
      <c r="J29" s="208"/>
      <c r="K29" s="208"/>
      <c r="L29" s="208"/>
    </row>
    <row r="30" spans="1:12">
      <c r="F30" s="208"/>
      <c r="G30" s="208"/>
      <c r="H30" s="208"/>
      <c r="I30" s="208"/>
      <c r="J30" s="208"/>
      <c r="K30" s="208"/>
      <c r="L30" s="208"/>
    </row>
    <row r="31" spans="1:12">
      <c r="F31" s="208"/>
      <c r="G31" s="208"/>
      <c r="H31" s="208"/>
      <c r="I31" s="208"/>
      <c r="J31" s="208"/>
      <c r="K31" s="208"/>
      <c r="L31" s="208"/>
    </row>
    <row r="32" spans="1:12">
      <c r="F32" s="208"/>
      <c r="G32" s="208"/>
      <c r="H32" s="208"/>
      <c r="I32" s="208"/>
      <c r="J32" s="208"/>
      <c r="K32" s="208"/>
      <c r="L32" s="208"/>
    </row>
    <row r="33" spans="1:12">
      <c r="F33" s="208"/>
      <c r="G33" s="208"/>
      <c r="H33" s="208"/>
      <c r="I33" s="208"/>
      <c r="J33" s="208"/>
      <c r="K33" s="208"/>
      <c r="L33" s="208"/>
    </row>
    <row r="34" spans="1:12">
      <c r="F34" s="208"/>
      <c r="G34" s="208"/>
      <c r="H34" s="208"/>
      <c r="I34" s="208"/>
      <c r="J34" s="208"/>
      <c r="K34" s="208"/>
      <c r="L34" s="208"/>
    </row>
    <row r="35" spans="1:12">
      <c r="F35" s="208"/>
      <c r="G35" s="208"/>
      <c r="H35" s="208"/>
      <c r="I35" s="208"/>
      <c r="J35" s="208"/>
      <c r="K35" s="208"/>
      <c r="L35" s="208"/>
    </row>
    <row r="36" spans="1:12">
      <c r="F36" s="208"/>
      <c r="G36" s="208"/>
      <c r="H36" s="208"/>
      <c r="I36" s="208"/>
      <c r="J36" s="208"/>
      <c r="K36" s="208"/>
      <c r="L36" s="208"/>
    </row>
    <row r="37" spans="1:12">
      <c r="F37" s="208"/>
      <c r="G37" s="208"/>
      <c r="H37" s="208"/>
      <c r="I37" s="208"/>
      <c r="J37" s="208"/>
      <c r="K37" s="208"/>
      <c r="L37" s="208"/>
    </row>
    <row r="38" spans="1:12">
      <c r="F38" s="208"/>
      <c r="G38" s="208"/>
      <c r="H38" s="208"/>
      <c r="I38" s="208"/>
      <c r="J38" s="208"/>
      <c r="K38" s="208"/>
      <c r="L38" s="208"/>
    </row>
    <row r="39" spans="1:12">
      <c r="F39" s="208"/>
      <c r="G39" s="208"/>
      <c r="H39" s="208"/>
      <c r="I39" s="208"/>
      <c r="J39" s="208"/>
      <c r="K39" s="208"/>
      <c r="L39" s="208"/>
    </row>
    <row r="40" spans="1:12">
      <c r="F40" s="208"/>
      <c r="G40" s="208"/>
      <c r="H40" s="208"/>
      <c r="I40" s="208"/>
      <c r="J40" s="208"/>
      <c r="K40" s="208"/>
      <c r="L40" s="208"/>
    </row>
    <row r="41" spans="1:12">
      <c r="F41" s="208"/>
      <c r="G41" s="208"/>
      <c r="H41" s="208"/>
      <c r="I41" s="208"/>
      <c r="J41" s="208"/>
      <c r="K41" s="208"/>
      <c r="L41" s="208"/>
    </row>
    <row r="42" spans="1:12">
      <c r="F42" s="208"/>
      <c r="G42" s="208"/>
      <c r="H42" s="208"/>
      <c r="I42" s="208"/>
      <c r="J42" s="208"/>
      <c r="K42" s="208"/>
      <c r="L42" s="208"/>
    </row>
    <row r="43" spans="1:12">
      <c r="F43" s="208"/>
      <c r="G43" s="208"/>
      <c r="H43" s="208"/>
      <c r="I43" s="208"/>
      <c r="J43" s="208"/>
      <c r="K43" s="208"/>
      <c r="L43" s="208"/>
    </row>
    <row r="44" spans="1:12">
      <c r="F44" s="208"/>
      <c r="G44" s="208"/>
      <c r="H44" s="208"/>
      <c r="I44" s="208"/>
      <c r="J44" s="208"/>
      <c r="K44" s="208"/>
      <c r="L44" s="208"/>
    </row>
    <row r="45" spans="1:12">
      <c r="F45" s="208"/>
      <c r="G45" s="208"/>
      <c r="H45" s="208"/>
      <c r="I45" s="208"/>
      <c r="J45" s="208"/>
      <c r="K45" s="208"/>
      <c r="L45" s="208"/>
    </row>
    <row r="46" spans="1:12">
      <c r="F46" s="208"/>
      <c r="G46" s="208"/>
      <c r="H46" s="208"/>
      <c r="I46" s="208"/>
      <c r="J46" s="208"/>
      <c r="K46" s="208"/>
      <c r="L46" s="208"/>
    </row>
    <row r="47" spans="1:12">
      <c r="F47" s="208"/>
      <c r="G47" s="208"/>
      <c r="H47" s="208"/>
      <c r="I47" s="208"/>
      <c r="J47" s="208"/>
      <c r="K47" s="208"/>
      <c r="L47" s="208"/>
    </row>
    <row r="48" spans="1:1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50" spans="1:12">
      <c r="A50" s="48" t="str">
        <f ca="1">OFFSET(Язык!$A$652,0,LANGUAGE)</f>
        <v>Изменения суммарных результатов для компании:</v>
      </c>
    </row>
    <row r="52" spans="1:12">
      <c r="A52" s="1" t="str">
        <f ca="1">OFFSET(Язык!$A$643,0,LANGUAGE)</f>
        <v>Чистая приведенная стоимость (NPV)</v>
      </c>
      <c r="E52" s="1" t="s">
        <v>704</v>
      </c>
      <c r="F52" s="208">
        <v>-642175.35603261599</v>
      </c>
      <c r="G52" s="208">
        <v>-597153.55125404394</v>
      </c>
      <c r="H52" s="208">
        <v>-553313.08550015942</v>
      </c>
      <c r="I52" s="208">
        <v>-509953.07668749278</v>
      </c>
      <c r="J52" s="208">
        <v>-466907.38845642802</v>
      </c>
      <c r="K52" s="208">
        <v>-423983.01723230619</v>
      </c>
      <c r="L52" s="208">
        <v>-381404.29209457297</v>
      </c>
    </row>
    <row r="53" spans="1:12">
      <c r="A53" s="1" t="str">
        <f ca="1">OFFSET(Язык!$A$644,0,LANGUAGE)</f>
        <v>Внутренняя норма рентабельности (IRR)</v>
      </c>
      <c r="E53" s="1" t="s">
        <v>2172</v>
      </c>
      <c r="F53" s="209">
        <v>7.6698161590088354E-2</v>
      </c>
      <c r="G53" s="209">
        <v>8.7549734041597826E-2</v>
      </c>
      <c r="H53" s="209">
        <v>9.7401620399570898E-2</v>
      </c>
      <c r="I53" s="209">
        <v>0.1068043533027967</v>
      </c>
      <c r="J53" s="209">
        <v>0.11584257941077936</v>
      </c>
      <c r="K53" s="209">
        <v>0.12457593549307688</v>
      </c>
      <c r="L53" s="209">
        <v>0.13299686855097104</v>
      </c>
    </row>
    <row r="54" spans="1:12">
      <c r="A54" s="1" t="str">
        <f ca="1">OFFSET(Язык!$A$645,0,LANGUAGE)</f>
        <v>Дисконтированный срок окупаемости (PBP)</v>
      </c>
      <c r="E54" s="1" t="s">
        <v>436</v>
      </c>
      <c r="F54" s="211" t="s">
        <v>1073</v>
      </c>
      <c r="G54" s="211" t="s">
        <v>1073</v>
      </c>
      <c r="H54" s="211" t="s">
        <v>1073</v>
      </c>
      <c r="I54" s="211" t="s">
        <v>1073</v>
      </c>
      <c r="J54" s="211" t="s">
        <v>1073</v>
      </c>
      <c r="K54" s="211" t="s">
        <v>1073</v>
      </c>
      <c r="L54" s="211" t="s">
        <v>1073</v>
      </c>
    </row>
    <row r="55" spans="1:12">
      <c r="A55" s="1" t="str">
        <f ca="1">OFFSET(Язык!$A$646,0,LANGUAGE)</f>
        <v>Норма доходности инвестиционных затрат</v>
      </c>
      <c r="E55" s="1" t="s">
        <v>437</v>
      </c>
      <c r="F55" s="208">
        <v>-0.52399031213379388</v>
      </c>
      <c r="G55" s="208">
        <v>-0.48816242614016009</v>
      </c>
      <c r="H55" s="208">
        <v>-0.4528328551322125</v>
      </c>
      <c r="I55" s="208">
        <v>-0.41782294149592003</v>
      </c>
      <c r="J55" s="208">
        <v>-0.38301064993023637</v>
      </c>
      <c r="K55" s="208">
        <v>-0.34822173559096214</v>
      </c>
      <c r="L55" s="208">
        <v>-0.31365024497150923</v>
      </c>
    </row>
    <row r="56" spans="1:12">
      <c r="A56" s="1" t="str">
        <f ca="1">OFFSET(Язык!$A$648,0,LANGUAGE)</f>
        <v>Суммарная чистая прибыль за период анализа</v>
      </c>
      <c r="E56" s="1" t="s">
        <v>439</v>
      </c>
      <c r="F56" s="208">
        <v>1083671.0310041155</v>
      </c>
      <c r="G56" s="208">
        <v>1278742.8555672001</v>
      </c>
      <c r="H56" s="208">
        <v>1473187.5759956879</v>
      </c>
      <c r="I56" s="208">
        <v>1667632.2964241756</v>
      </c>
      <c r="J56" s="208">
        <v>1862077.0168526634</v>
      </c>
      <c r="K56" s="208">
        <v>2056521.7372811513</v>
      </c>
      <c r="L56" s="208">
        <v>2250966.4577096393</v>
      </c>
    </row>
    <row r="57" spans="1:12">
      <c r="A57" s="170" t="str">
        <f ca="1">OFFSET(Язык!$A$650,0,LANGUAGE)</f>
        <v>Оценка стоимости бизнеса</v>
      </c>
      <c r="B57" s="170"/>
      <c r="C57" s="170"/>
      <c r="D57" s="170"/>
      <c r="E57" s="170" t="s">
        <v>670</v>
      </c>
      <c r="F57" s="214">
        <v>-114723.66888428891</v>
      </c>
      <c r="G57" s="214">
        <v>-62520.282311821589</v>
      </c>
      <c r="H57" s="214">
        <v>-10927.916496471626</v>
      </c>
      <c r="I57" s="214">
        <v>40223.792339445507</v>
      </c>
      <c r="J57" s="214">
        <v>91061.18059376051</v>
      </c>
      <c r="K57" s="214">
        <v>141777.25184113259</v>
      </c>
      <c r="L57" s="214">
        <v>192147.6770021159</v>
      </c>
    </row>
    <row r="59" spans="1:12">
      <c r="A59" s="135" t="str">
        <f ca="1">OFFSET(Язык!$A$653,0,LANGUAGE)</f>
        <v>График чувствительности компании в целом</v>
      </c>
      <c r="F59" s="208"/>
      <c r="G59" s="208"/>
      <c r="H59" s="208"/>
      <c r="I59" s="208"/>
      <c r="J59" s="208"/>
      <c r="K59" s="208"/>
      <c r="L59" s="208"/>
    </row>
    <row r="60" spans="1:12" ht="17.25" customHeight="1">
      <c r="A60" s="212" t="str">
        <f ca="1">OFFSET(A52,$E60-1,0)</f>
        <v>Чистая приведенная стоимость (NPV)</v>
      </c>
      <c r="B60" s="135"/>
      <c r="C60" s="135"/>
      <c r="D60" s="135"/>
      <c r="E60" s="135">
        <v>1</v>
      </c>
      <c r="F60" s="212">
        <f ca="1">OFFSET(F52,$E60-1,0)</f>
        <v>-642175.35603261599</v>
      </c>
      <c r="G60" s="212">
        <f t="shared" ref="G60:L60" ca="1" si="2">OFFSET(G52,$E60-1,0)</f>
        <v>-597153.55125404394</v>
      </c>
      <c r="H60" s="212">
        <f t="shared" ca="1" si="2"/>
        <v>-553313.08550015942</v>
      </c>
      <c r="I60" s="212">
        <f t="shared" ca="1" si="2"/>
        <v>-509953.07668749278</v>
      </c>
      <c r="J60" s="212">
        <f t="shared" ca="1" si="2"/>
        <v>-466907.38845642802</v>
      </c>
      <c r="K60" s="212">
        <f t="shared" ca="1" si="2"/>
        <v>-423983.01723230619</v>
      </c>
      <c r="L60" s="212">
        <f t="shared" ca="1" si="2"/>
        <v>-381404.29209457297</v>
      </c>
    </row>
    <row r="61" spans="1:12">
      <c r="F61" s="208"/>
      <c r="G61" s="208"/>
      <c r="H61" s="208"/>
      <c r="I61" s="208"/>
      <c r="J61" s="208"/>
      <c r="K61" s="208"/>
      <c r="L61" s="208"/>
    </row>
    <row r="62" spans="1:12">
      <c r="F62" s="208"/>
      <c r="G62" s="208"/>
      <c r="H62" s="208"/>
      <c r="I62" s="208"/>
      <c r="J62" s="208"/>
      <c r="K62" s="208"/>
      <c r="L62" s="208"/>
    </row>
    <row r="63" spans="1:12">
      <c r="F63" s="208"/>
      <c r="G63" s="208"/>
      <c r="H63" s="208"/>
      <c r="I63" s="208"/>
      <c r="J63" s="208"/>
      <c r="K63" s="208"/>
      <c r="L63" s="208"/>
    </row>
    <row r="64" spans="1:12">
      <c r="F64" s="208"/>
      <c r="G64" s="208"/>
      <c r="H64" s="208"/>
      <c r="I64" s="208"/>
      <c r="J64" s="208"/>
      <c r="K64" s="208"/>
      <c r="L64" s="208"/>
    </row>
    <row r="65" spans="6:12">
      <c r="F65" s="208"/>
      <c r="G65" s="208"/>
      <c r="H65" s="208"/>
      <c r="I65" s="208"/>
      <c r="J65" s="208"/>
      <c r="K65" s="208"/>
      <c r="L65" s="208"/>
    </row>
    <row r="66" spans="6:12">
      <c r="F66" s="208"/>
      <c r="G66" s="208"/>
      <c r="H66" s="208"/>
      <c r="I66" s="208"/>
      <c r="J66" s="208"/>
      <c r="K66" s="208"/>
      <c r="L66" s="208"/>
    </row>
    <row r="67" spans="6:12">
      <c r="F67" s="208"/>
      <c r="G67" s="208"/>
      <c r="H67" s="208"/>
      <c r="I67" s="208"/>
      <c r="J67" s="208"/>
      <c r="K67" s="208"/>
      <c r="L67" s="208"/>
    </row>
    <row r="68" spans="6:12">
      <c r="F68" s="208"/>
      <c r="G68" s="208"/>
      <c r="H68" s="208"/>
      <c r="I68" s="208"/>
      <c r="J68" s="208"/>
      <c r="K68" s="208"/>
      <c r="L68" s="208"/>
    </row>
    <row r="69" spans="6:12">
      <c r="F69" s="208"/>
      <c r="G69" s="208"/>
      <c r="H69" s="208"/>
      <c r="I69" s="208"/>
      <c r="J69" s="208"/>
      <c r="K69" s="208"/>
      <c r="L69" s="208"/>
    </row>
    <row r="70" spans="6:12">
      <c r="F70" s="208"/>
      <c r="G70" s="208"/>
      <c r="H70" s="208"/>
      <c r="I70" s="208"/>
      <c r="J70" s="208"/>
      <c r="K70" s="208"/>
      <c r="L70" s="208"/>
    </row>
    <row r="71" spans="6:12">
      <c r="F71" s="208"/>
      <c r="G71" s="208"/>
      <c r="H71" s="208"/>
      <c r="I71" s="208"/>
      <c r="J71" s="208"/>
      <c r="K71" s="208"/>
      <c r="L71" s="208"/>
    </row>
    <row r="72" spans="6:12">
      <c r="F72" s="208"/>
      <c r="G72" s="208"/>
      <c r="H72" s="208"/>
      <c r="I72" s="208"/>
      <c r="J72" s="208"/>
      <c r="K72" s="208"/>
      <c r="L72" s="208"/>
    </row>
    <row r="73" spans="6:12">
      <c r="F73" s="208"/>
      <c r="G73" s="208"/>
      <c r="H73" s="208"/>
      <c r="I73" s="208"/>
      <c r="J73" s="208"/>
      <c r="K73" s="208"/>
      <c r="L73" s="208"/>
    </row>
    <row r="74" spans="6:12">
      <c r="F74" s="208"/>
      <c r="G74" s="208"/>
      <c r="H74" s="208"/>
      <c r="I74" s="208"/>
      <c r="J74" s="208"/>
      <c r="K74" s="208"/>
      <c r="L74" s="208"/>
    </row>
    <row r="75" spans="6:12">
      <c r="F75" s="208"/>
      <c r="G75" s="208"/>
      <c r="H75" s="208"/>
      <c r="I75" s="208"/>
      <c r="J75" s="208"/>
      <c r="K75" s="208"/>
      <c r="L75" s="208"/>
    </row>
    <row r="76" spans="6:12">
      <c r="F76" s="208"/>
      <c r="G76" s="208"/>
      <c r="H76" s="208"/>
      <c r="I76" s="208"/>
      <c r="J76" s="208"/>
      <c r="K76" s="208"/>
      <c r="L76" s="208"/>
    </row>
    <row r="77" spans="6:12">
      <c r="F77" s="208"/>
      <c r="G77" s="208"/>
      <c r="H77" s="208"/>
      <c r="I77" s="208"/>
      <c r="J77" s="208"/>
      <c r="K77" s="208"/>
      <c r="L77" s="208"/>
    </row>
    <row r="78" spans="6:12">
      <c r="F78" s="208"/>
      <c r="G78" s="208"/>
      <c r="H78" s="208"/>
      <c r="I78" s="208"/>
      <c r="J78" s="208"/>
      <c r="K78" s="208"/>
      <c r="L78" s="208"/>
    </row>
    <row r="79" spans="6:12">
      <c r="F79" s="208"/>
      <c r="G79" s="208"/>
      <c r="H79" s="208"/>
      <c r="I79" s="208"/>
      <c r="J79" s="208"/>
      <c r="K79" s="208"/>
      <c r="L79" s="208"/>
    </row>
    <row r="80" spans="6:12">
      <c r="F80" s="208"/>
      <c r="G80" s="208"/>
      <c r="H80" s="208"/>
      <c r="I80" s="208"/>
      <c r="J80" s="208"/>
      <c r="K80" s="208"/>
      <c r="L80" s="208"/>
    </row>
    <row r="81" spans="1:12">
      <c r="F81" s="208"/>
      <c r="G81" s="208"/>
      <c r="H81" s="208"/>
      <c r="I81" s="208"/>
      <c r="J81" s="208"/>
      <c r="K81" s="208"/>
      <c r="L81" s="208"/>
    </row>
    <row r="82" spans="1:12">
      <c r="F82" s="208"/>
      <c r="G82" s="208"/>
      <c r="H82" s="208"/>
      <c r="I82" s="208"/>
      <c r="J82" s="208"/>
      <c r="K82" s="208"/>
      <c r="L82" s="208"/>
    </row>
    <row r="83" spans="1:12">
      <c r="F83" s="208"/>
      <c r="G83" s="208"/>
      <c r="H83" s="208"/>
      <c r="I83" s="208"/>
      <c r="J83" s="208"/>
      <c r="K83" s="208"/>
      <c r="L83" s="208"/>
    </row>
    <row r="84" spans="1:12">
      <c r="F84" s="208"/>
      <c r="G84" s="208"/>
      <c r="H84" s="208"/>
      <c r="I84" s="208"/>
      <c r="J84" s="208"/>
      <c r="K84" s="208"/>
      <c r="L84" s="208"/>
    </row>
    <row r="85" spans="1:12">
      <c r="F85" s="208"/>
      <c r="G85" s="208"/>
      <c r="H85" s="208"/>
      <c r="I85" s="208"/>
      <c r="J85" s="208"/>
      <c r="K85" s="208"/>
      <c r="L85" s="208"/>
    </row>
    <row r="87" spans="1:12" collapsed="1">
      <c r="A87" s="215" t="str">
        <f ca="1">OFFSET(Язык!$A$665,0,LANGUAGE)</f>
        <v>Параметры анализа чувствительности</v>
      </c>
    </row>
    <row r="88" spans="1:12" hidden="1" outlineLevel="1">
      <c r="A88" s="201" t="s">
        <v>248</v>
      </c>
      <c r="B88" s="202"/>
      <c r="C88" s="202"/>
      <c r="D88" s="202"/>
      <c r="E88" s="202"/>
      <c r="F88" s="202"/>
      <c r="G88" s="203"/>
    </row>
    <row r="89" spans="1:12" hidden="1" outlineLevel="1">
      <c r="A89" s="204" t="s">
        <v>249</v>
      </c>
      <c r="B89" s="121"/>
      <c r="C89" s="121"/>
      <c r="D89" s="121"/>
      <c r="E89" s="121"/>
      <c r="F89" s="121"/>
      <c r="G89" s="124"/>
    </row>
    <row r="90" spans="1:12" hidden="1" outlineLevel="1">
      <c r="A90" s="205" t="s">
        <v>250</v>
      </c>
      <c r="B90" s="122"/>
      <c r="C90" s="122"/>
      <c r="D90" s="122"/>
      <c r="E90" s="122"/>
      <c r="F90" s="122"/>
      <c r="G90" s="125"/>
    </row>
    <row r="91" spans="1:12" hidden="1" outlineLevel="1">
      <c r="A91" s="48" t="s">
        <v>241</v>
      </c>
      <c r="B91" s="35" t="s">
        <v>247</v>
      </c>
      <c r="C91" s="35"/>
    </row>
    <row r="92" spans="1:12" hidden="1" outlineLevel="1">
      <c r="A92" s="1" t="str">
        <f ca="1">OFFSET(Язык!$A$659,0,LANGUAGE)</f>
        <v>Уровень цен на реализуемую продукцию</v>
      </c>
      <c r="B92" s="132" t="s">
        <v>1559</v>
      </c>
      <c r="C92" s="132"/>
    </row>
    <row r="93" spans="1:12" hidden="1" outlineLevel="1">
      <c r="A93" s="1" t="str">
        <f ca="1">OFFSET(Язык!$A$660,0,LANGUAGE)</f>
        <v>Объем продаж</v>
      </c>
      <c r="B93" s="132" t="s">
        <v>1560</v>
      </c>
      <c r="C93" s="132"/>
    </row>
    <row r="94" spans="1:12" hidden="1" outlineLevel="1">
      <c r="A94" s="1" t="str">
        <f ca="1">OFFSET(Язык!$A$661,0,LANGUAGE)</f>
        <v>Стоимость материалов и комплектующих</v>
      </c>
      <c r="B94" s="132" t="s">
        <v>1561</v>
      </c>
      <c r="C94" s="132"/>
    </row>
    <row r="95" spans="1:12" hidden="1" outlineLevel="1">
      <c r="A95" s="1" t="str">
        <f ca="1">OFFSET(Язык!$A$662,0,LANGUAGE)</f>
        <v>Величина общих издержек</v>
      </c>
      <c r="B95" s="132" t="s">
        <v>1562</v>
      </c>
      <c r="C95" s="132"/>
    </row>
    <row r="96" spans="1:12" hidden="1" outlineLevel="1">
      <c r="A96" s="1" t="str">
        <f ca="1">OFFSET(Язык!$A$663,0,LANGUAGE)</f>
        <v>Размер инвестиций в постоянные активы</v>
      </c>
      <c r="B96" s="132" t="s">
        <v>1563</v>
      </c>
      <c r="C96" s="132"/>
    </row>
    <row r="97" spans="1:3" hidden="1" outlineLevel="1">
      <c r="A97" s="1" t="str">
        <f ca="1">OFFSET(Язык!$A$664,0,LANGUAGE)</f>
        <v>Ставка дисконтирования</v>
      </c>
      <c r="B97" s="132" t="s">
        <v>1564</v>
      </c>
      <c r="C97" s="132"/>
    </row>
    <row r="98" spans="1:3" hidden="1" outlineLevel="1">
      <c r="A98" s="172" t="s">
        <v>246</v>
      </c>
      <c r="B98" s="170"/>
    </row>
    <row r="99" spans="1:3" hidden="1" outlineLevel="1"/>
  </sheetData>
  <phoneticPr fontId="0" type="noConversion"/>
  <conditionalFormatting sqref="F9:L12 F14:L15 F19:L19 F53:L54">
    <cfRule type="expression" dxfId="2" priority="1" stopIfTrue="1">
      <formula>F$9=1</formula>
    </cfRule>
  </conditionalFormatting>
  <conditionalFormatting sqref="F13:L13 F16:L18 F55:L57 F52:L52 F20:L20">
    <cfRule type="expression" dxfId="1" priority="2" stopIfTrue="1">
      <formula>F$9=1</formula>
    </cfRule>
    <cfRule type="cellIs" dxfId="0" priority="3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1.25"/>
  <cols>
    <col min="1" max="1" width="50.83203125" style="1" customWidth="1"/>
    <col min="2" max="3" width="12.83203125" style="1" customWidth="1"/>
    <col min="4" max="5" width="1.6640625" style="1" customWidth="1"/>
    <col min="6" max="12" width="11.83203125" style="1" customWidth="1"/>
    <col min="13" max="13" width="2" style="1" customWidth="1"/>
    <col min="14" max="14" width="12.83203125" style="1" customWidth="1"/>
    <col min="15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H28"/>
  <sheetViews>
    <sheetView workbookViewId="0">
      <selection activeCell="A40" sqref="A40"/>
    </sheetView>
  </sheetViews>
  <sheetFormatPr defaultRowHeight="11.25"/>
  <cols>
    <col min="1" max="1" width="50.83203125" customWidth="1"/>
    <col min="2" max="2" width="10.1640625" bestFit="1" customWidth="1"/>
  </cols>
  <sheetData>
    <row r="2" spans="1:2">
      <c r="A2" s="48" t="s">
        <v>75</v>
      </c>
    </row>
    <row r="3" spans="1:2">
      <c r="A3" s="138" t="s">
        <v>2029</v>
      </c>
    </row>
    <row r="4" spans="1:2">
      <c r="A4" s="138" t="s">
        <v>2030</v>
      </c>
    </row>
    <row r="5" spans="1:2">
      <c r="A5" s="1" t="s">
        <v>1822</v>
      </c>
      <c r="B5" s="235" t="s">
        <v>2082</v>
      </c>
    </row>
    <row r="6" spans="1:2">
      <c r="A6" s="1" t="s">
        <v>1535</v>
      </c>
      <c r="B6" s="118">
        <v>38665</v>
      </c>
    </row>
    <row r="7" spans="1:2">
      <c r="A7" s="1" t="s">
        <v>555</v>
      </c>
      <c r="B7" s="118">
        <v>38752</v>
      </c>
    </row>
    <row r="8" spans="1:2">
      <c r="A8" t="s">
        <v>2045</v>
      </c>
      <c r="B8" t="b">
        <v>0</v>
      </c>
    </row>
    <row r="9" spans="1:2">
      <c r="A9" t="s">
        <v>1063</v>
      </c>
      <c r="B9" t="b">
        <v>1</v>
      </c>
    </row>
    <row r="10" spans="1:2">
      <c r="A10" t="s">
        <v>1528</v>
      </c>
      <c r="B10" t="b">
        <v>1</v>
      </c>
    </row>
    <row r="11" spans="1:2">
      <c r="A11" t="s">
        <v>1529</v>
      </c>
      <c r="B11" t="b">
        <v>0</v>
      </c>
    </row>
    <row r="12" spans="1:2">
      <c r="A12" t="s">
        <v>1530</v>
      </c>
      <c r="B12" t="b">
        <v>0</v>
      </c>
    </row>
    <row r="13" spans="1:2">
      <c r="A13" t="s">
        <v>739</v>
      </c>
      <c r="B13" t="b">
        <v>1</v>
      </c>
    </row>
    <row r="15" spans="1:2">
      <c r="A15" t="s">
        <v>1531</v>
      </c>
      <c r="B15" t="b">
        <v>0</v>
      </c>
    </row>
    <row r="16" spans="1:2">
      <c r="A16" t="s">
        <v>1532</v>
      </c>
      <c r="B16" s="35">
        <v>777</v>
      </c>
    </row>
    <row r="17" spans="1:8">
      <c r="A17" t="s">
        <v>1533</v>
      </c>
      <c r="B17" s="48" t="s">
        <v>502</v>
      </c>
    </row>
    <row r="18" spans="1:8">
      <c r="A18" t="s">
        <v>1534</v>
      </c>
    </row>
    <row r="20" spans="1:8">
      <c r="A20" s="109"/>
      <c r="B20" s="110"/>
      <c r="C20" s="110"/>
      <c r="D20" s="110"/>
      <c r="E20" s="110"/>
      <c r="F20" s="110"/>
      <c r="G20" s="110"/>
      <c r="H20" s="111"/>
    </row>
    <row r="21" spans="1:8" ht="11.25" customHeight="1">
      <c r="A21" s="112"/>
      <c r="B21" s="113"/>
      <c r="C21" s="113"/>
      <c r="D21" s="113"/>
      <c r="E21" s="113"/>
      <c r="F21" s="113"/>
      <c r="G21" s="113"/>
      <c r="H21" s="114"/>
    </row>
    <row r="22" spans="1:8">
      <c r="A22" s="112"/>
      <c r="B22" s="113"/>
      <c r="C22" s="113"/>
      <c r="D22" s="113"/>
      <c r="E22" s="113"/>
      <c r="F22" s="113"/>
      <c r="G22" s="113"/>
      <c r="H22" s="114"/>
    </row>
    <row r="23" spans="1:8">
      <c r="A23" s="112"/>
      <c r="B23" s="113"/>
      <c r="C23" s="113"/>
      <c r="D23" s="113"/>
      <c r="E23" s="113"/>
      <c r="F23" s="113"/>
      <c r="G23" s="113"/>
      <c r="H23" s="114"/>
    </row>
    <row r="24" spans="1:8">
      <c r="A24" s="112"/>
      <c r="B24" s="113"/>
      <c r="C24" s="113"/>
      <c r="D24" s="113"/>
      <c r="E24" s="113"/>
      <c r="F24" s="113"/>
      <c r="G24" s="113"/>
      <c r="H24" s="114"/>
    </row>
    <row r="25" spans="1:8">
      <c r="A25" s="112"/>
      <c r="B25" s="113"/>
      <c r="C25" s="113"/>
      <c r="D25" s="113"/>
      <c r="E25" s="113"/>
      <c r="F25" s="113"/>
      <c r="G25" s="113"/>
      <c r="H25" s="114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2"/>
      <c r="B27" s="113"/>
      <c r="C27" s="113"/>
      <c r="D27" s="113"/>
      <c r="E27" s="113"/>
      <c r="F27" s="113"/>
      <c r="G27" s="113"/>
      <c r="H27" s="114"/>
    </row>
    <row r="28" spans="1:8">
      <c r="A28" s="115"/>
      <c r="B28" s="116"/>
      <c r="C28" s="116"/>
      <c r="D28" s="116"/>
      <c r="E28" s="116"/>
      <c r="F28" s="116"/>
      <c r="G28" s="116"/>
      <c r="H28" s="117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883"/>
  <sheetViews>
    <sheetView topLeftCell="A839" workbookViewId="0">
      <selection activeCell="A839" sqref="A839"/>
    </sheetView>
  </sheetViews>
  <sheetFormatPr defaultRowHeight="11.25"/>
  <cols>
    <col min="1" max="1" width="45.83203125" customWidth="1"/>
    <col min="2" max="2" width="46" customWidth="1"/>
    <col min="3" max="4" width="45.83203125" customWidth="1"/>
  </cols>
  <sheetData>
    <row r="1" spans="1:4">
      <c r="A1" s="35" t="s">
        <v>373</v>
      </c>
      <c r="B1" s="35" t="s">
        <v>1821</v>
      </c>
      <c r="C1" s="35" t="s">
        <v>1977</v>
      </c>
      <c r="D1" s="35" t="s">
        <v>1819</v>
      </c>
    </row>
    <row r="2" spans="1:4">
      <c r="A2" t="s">
        <v>375</v>
      </c>
      <c r="B2" t="s">
        <v>1823</v>
      </c>
      <c r="C2" t="s">
        <v>1978</v>
      </c>
      <c r="D2" t="s">
        <v>375</v>
      </c>
    </row>
    <row r="3" spans="1:4">
      <c r="A3" t="s">
        <v>1820</v>
      </c>
      <c r="B3" t="s">
        <v>1824</v>
      </c>
      <c r="C3" t="s">
        <v>1979</v>
      </c>
      <c r="D3" t="s">
        <v>1820</v>
      </c>
    </row>
    <row r="4" spans="1:4">
      <c r="A4" t="s">
        <v>1825</v>
      </c>
      <c r="B4" t="s">
        <v>1826</v>
      </c>
      <c r="C4" t="s">
        <v>1980</v>
      </c>
      <c r="D4" t="s">
        <v>1825</v>
      </c>
    </row>
    <row r="5" spans="1:4">
      <c r="A5" t="s">
        <v>382</v>
      </c>
      <c r="B5" t="s">
        <v>1827</v>
      </c>
      <c r="C5" t="s">
        <v>1981</v>
      </c>
      <c r="D5" t="s">
        <v>382</v>
      </c>
    </row>
    <row r="6" spans="1:4">
      <c r="A6" t="s">
        <v>2031</v>
      </c>
      <c r="B6" t="s">
        <v>2032</v>
      </c>
      <c r="C6" t="s">
        <v>1982</v>
      </c>
      <c r="D6" t="s">
        <v>2031</v>
      </c>
    </row>
    <row r="7" spans="1:4">
      <c r="A7" t="s">
        <v>366</v>
      </c>
      <c r="B7" t="s">
        <v>2033</v>
      </c>
      <c r="C7" t="s">
        <v>1983</v>
      </c>
      <c r="D7" t="s">
        <v>366</v>
      </c>
    </row>
    <row r="8" spans="1:4">
      <c r="A8" t="s">
        <v>1691</v>
      </c>
      <c r="B8" t="s">
        <v>1692</v>
      </c>
      <c r="C8" t="s">
        <v>1692</v>
      </c>
      <c r="D8" t="s">
        <v>1691</v>
      </c>
    </row>
    <row r="9" spans="1:4">
      <c r="A9" t="s">
        <v>2282</v>
      </c>
      <c r="B9" t="s">
        <v>2283</v>
      </c>
      <c r="C9" t="s">
        <v>1984</v>
      </c>
      <c r="D9" t="s">
        <v>2282</v>
      </c>
    </row>
    <row r="10" spans="1:4">
      <c r="A10" t="s">
        <v>2284</v>
      </c>
      <c r="B10" t="s">
        <v>2284</v>
      </c>
      <c r="C10" t="s">
        <v>2284</v>
      </c>
      <c r="D10" t="s">
        <v>2284</v>
      </c>
    </row>
    <row r="11" spans="1:4">
      <c r="A11" t="s">
        <v>2285</v>
      </c>
      <c r="B11" t="s">
        <v>2285</v>
      </c>
      <c r="C11" t="s">
        <v>2285</v>
      </c>
      <c r="D11" t="s">
        <v>2285</v>
      </c>
    </row>
    <row r="12" spans="1:4">
      <c r="A12" t="s">
        <v>2286</v>
      </c>
      <c r="B12" t="s">
        <v>2286</v>
      </c>
      <c r="C12" t="s">
        <v>2286</v>
      </c>
      <c r="D12" t="s">
        <v>2286</v>
      </c>
    </row>
    <row r="13" spans="1:4">
      <c r="A13" t="s">
        <v>2287</v>
      </c>
      <c r="B13" t="s">
        <v>2288</v>
      </c>
      <c r="C13" t="s">
        <v>1985</v>
      </c>
      <c r="D13" t="s">
        <v>2287</v>
      </c>
    </row>
    <row r="14" spans="1:4">
      <c r="A14" t="s">
        <v>2289</v>
      </c>
      <c r="B14" t="s">
        <v>2290</v>
      </c>
      <c r="C14" t="s">
        <v>1986</v>
      </c>
      <c r="D14" t="s">
        <v>2289</v>
      </c>
    </row>
    <row r="15" spans="1:4">
      <c r="A15" t="s">
        <v>2291</v>
      </c>
      <c r="B15" t="s">
        <v>2292</v>
      </c>
      <c r="C15" t="s">
        <v>1987</v>
      </c>
      <c r="D15" t="s">
        <v>2291</v>
      </c>
    </row>
    <row r="16" spans="1:4">
      <c r="A16" t="s">
        <v>2293</v>
      </c>
      <c r="B16" t="s">
        <v>2294</v>
      </c>
      <c r="C16" t="s">
        <v>1988</v>
      </c>
      <c r="D16" t="s">
        <v>2293</v>
      </c>
    </row>
    <row r="17" spans="1:4">
      <c r="A17" t="s">
        <v>2295</v>
      </c>
      <c r="B17" t="s">
        <v>2296</v>
      </c>
      <c r="C17" t="s">
        <v>1989</v>
      </c>
      <c r="D17" t="s">
        <v>2295</v>
      </c>
    </row>
    <row r="18" spans="1:4">
      <c r="A18" t="s">
        <v>2297</v>
      </c>
      <c r="B18" t="s">
        <v>2298</v>
      </c>
      <c r="C18" t="s">
        <v>2338</v>
      </c>
      <c r="D18" t="s">
        <v>2297</v>
      </c>
    </row>
    <row r="19" spans="1:4">
      <c r="A19" t="s">
        <v>2299</v>
      </c>
      <c r="B19" t="s">
        <v>2304</v>
      </c>
      <c r="C19" t="s">
        <v>2339</v>
      </c>
      <c r="D19" t="s">
        <v>2299</v>
      </c>
    </row>
    <row r="20" spans="1:4">
      <c r="A20" t="s">
        <v>2300</v>
      </c>
      <c r="B20" t="s">
        <v>2305</v>
      </c>
      <c r="C20" t="s">
        <v>2340</v>
      </c>
      <c r="D20" t="s">
        <v>2300</v>
      </c>
    </row>
    <row r="21" spans="1:4">
      <c r="A21" t="s">
        <v>2301</v>
      </c>
      <c r="B21" t="s">
        <v>2306</v>
      </c>
      <c r="C21" t="s">
        <v>2341</v>
      </c>
      <c r="D21" t="s">
        <v>2301</v>
      </c>
    </row>
    <row r="22" spans="1:4">
      <c r="A22" t="s">
        <v>2302</v>
      </c>
      <c r="B22" t="s">
        <v>2307</v>
      </c>
      <c r="C22" t="s">
        <v>2342</v>
      </c>
      <c r="D22" t="s">
        <v>2302</v>
      </c>
    </row>
    <row r="23" spans="1:4">
      <c r="A23" t="s">
        <v>2303</v>
      </c>
      <c r="B23" t="s">
        <v>2308</v>
      </c>
      <c r="C23" t="s">
        <v>2343</v>
      </c>
      <c r="D23" t="s">
        <v>2303</v>
      </c>
    </row>
    <row r="24" spans="1:4">
      <c r="A24" t="s">
        <v>2008</v>
      </c>
      <c r="B24" t="s">
        <v>2012</v>
      </c>
      <c r="C24" t="s">
        <v>2339</v>
      </c>
      <c r="D24" t="s">
        <v>2008</v>
      </c>
    </row>
    <row r="25" spans="1:4">
      <c r="A25" t="s">
        <v>2009</v>
      </c>
      <c r="B25" t="s">
        <v>2013</v>
      </c>
      <c r="C25" t="s">
        <v>2344</v>
      </c>
      <c r="D25" t="s">
        <v>2009</v>
      </c>
    </row>
    <row r="26" spans="1:4">
      <c r="A26" t="s">
        <v>2010</v>
      </c>
      <c r="B26" t="s">
        <v>2014</v>
      </c>
      <c r="C26" t="s">
        <v>2345</v>
      </c>
      <c r="D26" t="s">
        <v>2010</v>
      </c>
    </row>
    <row r="27" spans="1:4">
      <c r="A27" t="s">
        <v>2011</v>
      </c>
      <c r="B27" t="s">
        <v>2015</v>
      </c>
      <c r="C27" t="s">
        <v>2346</v>
      </c>
      <c r="D27" t="s">
        <v>2011</v>
      </c>
    </row>
    <row r="28" spans="1:4">
      <c r="A28" t="s">
        <v>2021</v>
      </c>
      <c r="B28" t="s">
        <v>1421</v>
      </c>
      <c r="C28" t="s">
        <v>2347</v>
      </c>
      <c r="D28" t="s">
        <v>2021</v>
      </c>
    </row>
    <row r="29" spans="1:4">
      <c r="A29" t="s">
        <v>2020</v>
      </c>
      <c r="B29" t="s">
        <v>1422</v>
      </c>
      <c r="C29" t="s">
        <v>2348</v>
      </c>
      <c r="D29" t="s">
        <v>2020</v>
      </c>
    </row>
    <row r="30" spans="1:4">
      <c r="A30" t="s">
        <v>2022</v>
      </c>
      <c r="B30" t="s">
        <v>1423</v>
      </c>
      <c r="C30" t="s">
        <v>2349</v>
      </c>
      <c r="D30" t="s">
        <v>2022</v>
      </c>
    </row>
    <row r="31" spans="1:4">
      <c r="A31" t="s">
        <v>2023</v>
      </c>
      <c r="B31" t="s">
        <v>1424</v>
      </c>
      <c r="C31" t="s">
        <v>2350</v>
      </c>
      <c r="D31" t="s">
        <v>2023</v>
      </c>
    </row>
    <row r="32" spans="1:4">
      <c r="A32" t="s">
        <v>370</v>
      </c>
      <c r="B32" t="s">
        <v>450</v>
      </c>
      <c r="C32" t="s">
        <v>2351</v>
      </c>
      <c r="D32" t="s">
        <v>370</v>
      </c>
    </row>
    <row r="33" spans="1:4">
      <c r="A33" t="s">
        <v>371</v>
      </c>
      <c r="B33" t="s">
        <v>451</v>
      </c>
      <c r="C33" t="s">
        <v>2352</v>
      </c>
      <c r="D33" t="s">
        <v>371</v>
      </c>
    </row>
    <row r="34" spans="1:4">
      <c r="A34" t="s">
        <v>364</v>
      </c>
      <c r="B34" t="s">
        <v>452</v>
      </c>
      <c r="C34" t="s">
        <v>2353</v>
      </c>
      <c r="D34" t="s">
        <v>364</v>
      </c>
    </row>
    <row r="35" spans="1:4">
      <c r="A35" t="s">
        <v>367</v>
      </c>
      <c r="B35" t="s">
        <v>453</v>
      </c>
      <c r="C35" t="s">
        <v>2354</v>
      </c>
      <c r="D35" t="s">
        <v>367</v>
      </c>
    </row>
    <row r="36" spans="1:4">
      <c r="A36" t="s">
        <v>368</v>
      </c>
      <c r="B36" t="s">
        <v>454</v>
      </c>
      <c r="C36" t="s">
        <v>2355</v>
      </c>
      <c r="D36" t="s">
        <v>368</v>
      </c>
    </row>
    <row r="37" spans="1:4">
      <c r="A37" t="s">
        <v>383</v>
      </c>
      <c r="B37" t="s">
        <v>455</v>
      </c>
      <c r="C37" t="s">
        <v>2356</v>
      </c>
      <c r="D37" t="s">
        <v>383</v>
      </c>
    </row>
    <row r="38" spans="1:4">
      <c r="A38" t="s">
        <v>365</v>
      </c>
      <c r="B38" t="s">
        <v>2032</v>
      </c>
      <c r="C38" t="s">
        <v>2357</v>
      </c>
      <c r="D38" t="s">
        <v>365</v>
      </c>
    </row>
    <row r="39" spans="1:4">
      <c r="A39" t="s">
        <v>366</v>
      </c>
      <c r="B39" t="s">
        <v>2033</v>
      </c>
      <c r="C39" t="s">
        <v>1983</v>
      </c>
      <c r="D39" t="s">
        <v>366</v>
      </c>
    </row>
    <row r="40" spans="1:4">
      <c r="A40" t="s">
        <v>372</v>
      </c>
      <c r="B40" t="s">
        <v>456</v>
      </c>
      <c r="C40" t="s">
        <v>2358</v>
      </c>
      <c r="D40" t="s">
        <v>372</v>
      </c>
    </row>
    <row r="41" spans="1:4">
      <c r="A41" t="s">
        <v>374</v>
      </c>
      <c r="B41" t="s">
        <v>457</v>
      </c>
      <c r="C41" t="s">
        <v>2359</v>
      </c>
      <c r="D41" t="s">
        <v>374</v>
      </c>
    </row>
    <row r="42" spans="1:4">
      <c r="A42" t="s">
        <v>369</v>
      </c>
      <c r="B42" t="s">
        <v>458</v>
      </c>
      <c r="C42" t="s">
        <v>2360</v>
      </c>
      <c r="D42" t="s">
        <v>369</v>
      </c>
    </row>
    <row r="43" spans="1:4">
      <c r="A43" t="s">
        <v>1818</v>
      </c>
      <c r="B43" t="s">
        <v>459</v>
      </c>
      <c r="C43" t="s">
        <v>2361</v>
      </c>
      <c r="D43" t="s">
        <v>1818</v>
      </c>
    </row>
    <row r="44" spans="1:4">
      <c r="A44" s="2" t="s">
        <v>2043</v>
      </c>
      <c r="B44" t="s">
        <v>460</v>
      </c>
      <c r="C44" t="s">
        <v>2362</v>
      </c>
      <c r="D44" s="2" t="s">
        <v>2043</v>
      </c>
    </row>
    <row r="45" spans="1:4">
      <c r="A45" s="2" t="s">
        <v>2044</v>
      </c>
      <c r="B45" t="s">
        <v>461</v>
      </c>
      <c r="C45" t="s">
        <v>2363</v>
      </c>
      <c r="D45" s="2" t="s">
        <v>2044</v>
      </c>
    </row>
    <row r="46" spans="1:4">
      <c r="A46" s="2" t="s">
        <v>377</v>
      </c>
      <c r="B46" t="s">
        <v>462</v>
      </c>
      <c r="C46" t="s">
        <v>2364</v>
      </c>
      <c r="D46" s="2" t="s">
        <v>377</v>
      </c>
    </row>
    <row r="47" spans="1:4">
      <c r="A47" s="2" t="s">
        <v>379</v>
      </c>
      <c r="B47" t="s">
        <v>463</v>
      </c>
      <c r="C47" t="s">
        <v>2365</v>
      </c>
      <c r="D47" s="2" t="s">
        <v>379</v>
      </c>
    </row>
    <row r="48" spans="1:4">
      <c r="A48" s="2" t="s">
        <v>378</v>
      </c>
      <c r="B48" t="s">
        <v>464</v>
      </c>
      <c r="C48" t="s">
        <v>2366</v>
      </c>
      <c r="D48" s="2" t="s">
        <v>378</v>
      </c>
    </row>
    <row r="49" spans="1:4">
      <c r="A49" s="2" t="s">
        <v>380</v>
      </c>
      <c r="B49" t="s">
        <v>465</v>
      </c>
      <c r="C49" t="s">
        <v>2367</v>
      </c>
      <c r="D49" s="2" t="s">
        <v>380</v>
      </c>
    </row>
    <row r="50" spans="1:4">
      <c r="A50" t="s">
        <v>376</v>
      </c>
      <c r="B50" t="s">
        <v>2183</v>
      </c>
      <c r="C50" t="s">
        <v>2368</v>
      </c>
      <c r="D50" t="s">
        <v>376</v>
      </c>
    </row>
    <row r="51" spans="1:4">
      <c r="A51" t="s">
        <v>2041</v>
      </c>
      <c r="B51" t="s">
        <v>1420</v>
      </c>
      <c r="C51" t="s">
        <v>2369</v>
      </c>
      <c r="D51" t="s">
        <v>2041</v>
      </c>
    </row>
    <row r="52" spans="1:4">
      <c r="A52" t="s">
        <v>109</v>
      </c>
      <c r="B52" t="s">
        <v>2184</v>
      </c>
      <c r="C52" t="s">
        <v>2370</v>
      </c>
      <c r="D52" t="s">
        <v>109</v>
      </c>
    </row>
    <row r="53" spans="1:4">
      <c r="A53" t="s">
        <v>111</v>
      </c>
      <c r="B53" t="s">
        <v>1165</v>
      </c>
      <c r="C53" t="s">
        <v>2371</v>
      </c>
      <c r="D53" t="s">
        <v>111</v>
      </c>
    </row>
    <row r="54" spans="1:4">
      <c r="A54" t="s">
        <v>384</v>
      </c>
      <c r="B54" t="s">
        <v>2229</v>
      </c>
      <c r="C54" t="s">
        <v>2372</v>
      </c>
      <c r="D54" t="s">
        <v>384</v>
      </c>
    </row>
    <row r="55" spans="1:4">
      <c r="A55" t="s">
        <v>44</v>
      </c>
      <c r="B55" t="s">
        <v>2230</v>
      </c>
      <c r="C55" t="s">
        <v>2373</v>
      </c>
      <c r="D55" t="s">
        <v>44</v>
      </c>
    </row>
    <row r="56" spans="1:4">
      <c r="A56" t="s">
        <v>139</v>
      </c>
      <c r="B56" t="s">
        <v>2231</v>
      </c>
      <c r="C56" t="s">
        <v>2374</v>
      </c>
      <c r="D56" t="s">
        <v>139</v>
      </c>
    </row>
    <row r="57" spans="1:4">
      <c r="A57" t="s">
        <v>386</v>
      </c>
      <c r="B57" t="s">
        <v>2232</v>
      </c>
      <c r="C57" t="s">
        <v>2375</v>
      </c>
      <c r="D57" t="s">
        <v>386</v>
      </c>
    </row>
    <row r="58" spans="1:4">
      <c r="A58" t="s">
        <v>1518</v>
      </c>
      <c r="B58" t="s">
        <v>1147</v>
      </c>
      <c r="C58" t="s">
        <v>2376</v>
      </c>
      <c r="D58" t="s">
        <v>1518</v>
      </c>
    </row>
    <row r="59" spans="1:4">
      <c r="A59" t="s">
        <v>109</v>
      </c>
      <c r="B59" t="s">
        <v>1148</v>
      </c>
      <c r="C59" t="s">
        <v>611</v>
      </c>
      <c r="D59" t="s">
        <v>109</v>
      </c>
    </row>
    <row r="60" spans="1:4">
      <c r="A60" t="s">
        <v>110</v>
      </c>
      <c r="B60" t="s">
        <v>1166</v>
      </c>
      <c r="C60" t="s">
        <v>612</v>
      </c>
      <c r="D60" t="s">
        <v>110</v>
      </c>
    </row>
    <row r="61" spans="1:4">
      <c r="A61" t="s">
        <v>384</v>
      </c>
      <c r="B61" t="s">
        <v>2229</v>
      </c>
      <c r="C61" t="s">
        <v>613</v>
      </c>
      <c r="D61" t="s">
        <v>384</v>
      </c>
    </row>
    <row r="62" spans="1:4">
      <c r="A62" t="s">
        <v>45</v>
      </c>
      <c r="B62" t="s">
        <v>1167</v>
      </c>
      <c r="C62" t="s">
        <v>614</v>
      </c>
      <c r="D62" t="s">
        <v>45</v>
      </c>
    </row>
    <row r="63" spans="1:4">
      <c r="A63" t="s">
        <v>387</v>
      </c>
      <c r="B63" t="s">
        <v>1168</v>
      </c>
      <c r="C63" t="s">
        <v>615</v>
      </c>
      <c r="D63" t="s">
        <v>387</v>
      </c>
    </row>
    <row r="64" spans="1:4">
      <c r="A64" t="s">
        <v>2037</v>
      </c>
      <c r="C64" t="s">
        <v>616</v>
      </c>
      <c r="D64" t="s">
        <v>2037</v>
      </c>
    </row>
    <row r="65" spans="1:4">
      <c r="A65" t="s">
        <v>2038</v>
      </c>
      <c r="B65" t="s">
        <v>1169</v>
      </c>
      <c r="C65" t="s">
        <v>617</v>
      </c>
      <c r="D65" t="s">
        <v>2038</v>
      </c>
    </row>
    <row r="66" spans="1:4">
      <c r="A66" t="s">
        <v>2039</v>
      </c>
      <c r="B66" t="s">
        <v>1170</v>
      </c>
      <c r="C66" t="s">
        <v>618</v>
      </c>
      <c r="D66" t="s">
        <v>2039</v>
      </c>
    </row>
    <row r="67" spans="1:4">
      <c r="A67" t="s">
        <v>2040</v>
      </c>
      <c r="B67" t="s">
        <v>1171</v>
      </c>
      <c r="C67" t="s">
        <v>619</v>
      </c>
      <c r="D67" t="s">
        <v>2040</v>
      </c>
    </row>
    <row r="68" spans="1:4">
      <c r="A68" t="s">
        <v>2179</v>
      </c>
      <c r="B68" t="s">
        <v>1172</v>
      </c>
      <c r="C68" t="s">
        <v>620</v>
      </c>
      <c r="D68" t="s">
        <v>2179</v>
      </c>
    </row>
    <row r="69" spans="1:4">
      <c r="A69" t="s">
        <v>2180</v>
      </c>
      <c r="B69" t="s">
        <v>1173</v>
      </c>
      <c r="C69" t="s">
        <v>621</v>
      </c>
      <c r="D69" t="s">
        <v>2180</v>
      </c>
    </row>
    <row r="70" spans="1:4">
      <c r="A70" t="s">
        <v>2181</v>
      </c>
      <c r="B70" t="s">
        <v>1418</v>
      </c>
      <c r="C70" t="s">
        <v>622</v>
      </c>
      <c r="D70" t="s">
        <v>2181</v>
      </c>
    </row>
    <row r="71" spans="1:4">
      <c r="A71" t="s">
        <v>2182</v>
      </c>
      <c r="B71" t="s">
        <v>1419</v>
      </c>
      <c r="C71" t="s">
        <v>623</v>
      </c>
      <c r="D71" t="s">
        <v>2182</v>
      </c>
    </row>
    <row r="72" spans="1:4">
      <c r="A72" t="s">
        <v>2048</v>
      </c>
      <c r="B72" t="s">
        <v>1079</v>
      </c>
      <c r="C72" t="s">
        <v>624</v>
      </c>
      <c r="D72" t="s">
        <v>2048</v>
      </c>
    </row>
    <row r="73" spans="1:4">
      <c r="A73" t="s">
        <v>2313</v>
      </c>
      <c r="B73" t="s">
        <v>1081</v>
      </c>
      <c r="C73" t="s">
        <v>625</v>
      </c>
      <c r="D73" t="s">
        <v>2313</v>
      </c>
    </row>
    <row r="74" spans="1:4">
      <c r="A74" t="s">
        <v>2046</v>
      </c>
      <c r="B74" t="s">
        <v>1080</v>
      </c>
      <c r="C74" t="s">
        <v>626</v>
      </c>
      <c r="D74" t="s">
        <v>2046</v>
      </c>
    </row>
    <row r="75" spans="1:4">
      <c r="A75" t="s">
        <v>2270</v>
      </c>
      <c r="B75" t="s">
        <v>1082</v>
      </c>
      <c r="C75" t="s">
        <v>627</v>
      </c>
      <c r="D75" t="s">
        <v>2270</v>
      </c>
    </row>
    <row r="76" spans="1:4">
      <c r="A76" t="s">
        <v>2269</v>
      </c>
      <c r="B76" t="s">
        <v>1083</v>
      </c>
      <c r="C76" t="s">
        <v>2331</v>
      </c>
      <c r="D76" t="s">
        <v>2269</v>
      </c>
    </row>
    <row r="77" spans="1:4">
      <c r="A77" t="s">
        <v>2047</v>
      </c>
      <c r="B77" t="s">
        <v>1084</v>
      </c>
      <c r="C77" t="s">
        <v>1084</v>
      </c>
      <c r="D77" t="s">
        <v>2047</v>
      </c>
    </row>
    <row r="78" spans="1:4">
      <c r="A78" t="s">
        <v>2035</v>
      </c>
      <c r="B78" t="s">
        <v>1085</v>
      </c>
      <c r="C78" t="s">
        <v>2332</v>
      </c>
      <c r="D78" t="s">
        <v>2035</v>
      </c>
    </row>
    <row r="79" spans="1:4">
      <c r="A79" t="s">
        <v>2052</v>
      </c>
      <c r="B79" t="s">
        <v>1086</v>
      </c>
      <c r="C79" t="s">
        <v>2333</v>
      </c>
      <c r="D79" t="s">
        <v>2052</v>
      </c>
    </row>
    <row r="80" spans="1:4">
      <c r="A80" t="s">
        <v>1811</v>
      </c>
      <c r="B80" t="s">
        <v>1087</v>
      </c>
      <c r="C80" t="s">
        <v>2334</v>
      </c>
      <c r="D80" t="s">
        <v>1811</v>
      </c>
    </row>
    <row r="81" spans="1:4">
      <c r="A81" t="s">
        <v>2034</v>
      </c>
      <c r="B81" t="s">
        <v>1088</v>
      </c>
      <c r="C81" t="s">
        <v>2335</v>
      </c>
      <c r="D81" t="s">
        <v>2034</v>
      </c>
    </row>
    <row r="82" spans="1:4">
      <c r="A82" t="s">
        <v>2053</v>
      </c>
      <c r="B82" t="s">
        <v>1089</v>
      </c>
      <c r="C82" t="s">
        <v>2336</v>
      </c>
      <c r="D82" t="s">
        <v>2053</v>
      </c>
    </row>
    <row r="83" spans="1:4">
      <c r="A83" t="s">
        <v>1812</v>
      </c>
      <c r="B83" t="s">
        <v>1090</v>
      </c>
      <c r="C83" t="s">
        <v>2337</v>
      </c>
      <c r="D83" t="s">
        <v>1812</v>
      </c>
    </row>
    <row r="84" spans="1:4">
      <c r="A84" t="s">
        <v>1813</v>
      </c>
      <c r="B84" t="s">
        <v>1091</v>
      </c>
      <c r="C84" t="s">
        <v>2083</v>
      </c>
      <c r="D84" t="s">
        <v>1813</v>
      </c>
    </row>
    <row r="85" spans="1:4">
      <c r="A85" t="s">
        <v>2049</v>
      </c>
      <c r="B85" t="s">
        <v>1092</v>
      </c>
      <c r="C85" t="s">
        <v>2084</v>
      </c>
      <c r="D85" t="s">
        <v>2049</v>
      </c>
    </row>
    <row r="86" spans="1:4">
      <c r="A86" t="s">
        <v>1814</v>
      </c>
      <c r="B86" t="s">
        <v>1093</v>
      </c>
      <c r="C86" t="s">
        <v>2085</v>
      </c>
      <c r="D86" t="s">
        <v>1814</v>
      </c>
    </row>
    <row r="87" spans="1:4">
      <c r="A87" t="s">
        <v>1577</v>
      </c>
      <c r="B87" t="s">
        <v>1094</v>
      </c>
      <c r="C87" t="s">
        <v>2086</v>
      </c>
      <c r="D87" t="s">
        <v>1577</v>
      </c>
    </row>
    <row r="88" spans="1:4">
      <c r="A88" t="s">
        <v>1578</v>
      </c>
      <c r="B88" t="s">
        <v>1095</v>
      </c>
      <c r="C88" t="s">
        <v>2087</v>
      </c>
      <c r="D88" t="s">
        <v>1578</v>
      </c>
    </row>
    <row r="89" spans="1:4">
      <c r="A89" t="s">
        <v>1815</v>
      </c>
      <c r="B89" t="s">
        <v>1096</v>
      </c>
      <c r="C89" t="s">
        <v>2088</v>
      </c>
      <c r="D89" t="s">
        <v>1815</v>
      </c>
    </row>
    <row r="90" spans="1:4">
      <c r="A90" t="s">
        <v>1816</v>
      </c>
      <c r="B90" t="s">
        <v>1097</v>
      </c>
      <c r="C90" t="s">
        <v>2089</v>
      </c>
      <c r="D90" t="s">
        <v>1816</v>
      </c>
    </row>
    <row r="91" spans="1:4">
      <c r="A91" t="s">
        <v>1817</v>
      </c>
      <c r="B91" t="s">
        <v>1098</v>
      </c>
      <c r="C91" t="s">
        <v>2090</v>
      </c>
      <c r="D91" t="s">
        <v>1817</v>
      </c>
    </row>
    <row r="92" spans="1:4">
      <c r="A92" t="s">
        <v>1576</v>
      </c>
      <c r="B92" t="s">
        <v>1099</v>
      </c>
      <c r="C92" t="s">
        <v>2091</v>
      </c>
      <c r="D92" t="s">
        <v>1576</v>
      </c>
    </row>
    <row r="93" spans="1:4">
      <c r="A93" t="s">
        <v>2054</v>
      </c>
      <c r="B93" t="s">
        <v>1100</v>
      </c>
      <c r="C93" t="s">
        <v>2092</v>
      </c>
      <c r="D93" t="s">
        <v>2054</v>
      </c>
    </row>
    <row r="94" spans="1:4">
      <c r="A94" t="s">
        <v>1579</v>
      </c>
      <c r="B94" t="s">
        <v>1101</v>
      </c>
      <c r="C94" t="s">
        <v>2093</v>
      </c>
      <c r="D94" t="s">
        <v>1579</v>
      </c>
    </row>
    <row r="95" spans="1:4">
      <c r="A95" t="s">
        <v>1776</v>
      </c>
      <c r="B95" t="s">
        <v>1102</v>
      </c>
      <c r="C95" t="s">
        <v>2094</v>
      </c>
      <c r="D95" t="s">
        <v>1776</v>
      </c>
    </row>
    <row r="96" spans="1:4">
      <c r="A96" t="s">
        <v>1775</v>
      </c>
      <c r="B96" t="s">
        <v>1103</v>
      </c>
      <c r="C96" t="s">
        <v>2095</v>
      </c>
      <c r="D96" t="s">
        <v>1775</v>
      </c>
    </row>
    <row r="97" spans="1:4">
      <c r="A97" t="s">
        <v>1777</v>
      </c>
      <c r="B97" t="s">
        <v>89</v>
      </c>
      <c r="C97" t="s">
        <v>2096</v>
      </c>
      <c r="D97" t="s">
        <v>1777</v>
      </c>
    </row>
    <row r="98" spans="1:4">
      <c r="A98" t="s">
        <v>1810</v>
      </c>
      <c r="B98" t="s">
        <v>90</v>
      </c>
      <c r="C98" t="s">
        <v>90</v>
      </c>
      <c r="D98" t="s">
        <v>1810</v>
      </c>
    </row>
    <row r="99" spans="1:4">
      <c r="A99" t="s">
        <v>2051</v>
      </c>
      <c r="B99" t="s">
        <v>91</v>
      </c>
      <c r="C99" t="s">
        <v>2097</v>
      </c>
      <c r="D99" t="s">
        <v>2051</v>
      </c>
    </row>
    <row r="100" spans="1:4">
      <c r="A100" t="s">
        <v>1804</v>
      </c>
      <c r="B100" t="s">
        <v>92</v>
      </c>
      <c r="C100" t="s">
        <v>2098</v>
      </c>
      <c r="D100" t="s">
        <v>1804</v>
      </c>
    </row>
    <row r="101" spans="1:4">
      <c r="A101" t="s">
        <v>2036</v>
      </c>
      <c r="B101" t="s">
        <v>93</v>
      </c>
      <c r="C101" t="s">
        <v>2099</v>
      </c>
      <c r="D101" t="s">
        <v>2036</v>
      </c>
    </row>
    <row r="102" spans="1:4">
      <c r="A102" t="s">
        <v>1552</v>
      </c>
      <c r="B102" t="s">
        <v>95</v>
      </c>
      <c r="C102" t="s">
        <v>2100</v>
      </c>
      <c r="D102" t="s">
        <v>1552</v>
      </c>
    </row>
    <row r="103" spans="1:4">
      <c r="A103" t="s">
        <v>1805</v>
      </c>
      <c r="B103" t="s">
        <v>94</v>
      </c>
      <c r="C103" t="s">
        <v>2101</v>
      </c>
      <c r="D103" t="s">
        <v>1805</v>
      </c>
    </row>
    <row r="104" spans="1:4">
      <c r="A104" t="s">
        <v>1551</v>
      </c>
      <c r="B104" t="s">
        <v>96</v>
      </c>
      <c r="C104" t="s">
        <v>2102</v>
      </c>
      <c r="D104" t="s">
        <v>1551</v>
      </c>
    </row>
    <row r="105" spans="1:4">
      <c r="A105" t="s">
        <v>1549</v>
      </c>
      <c r="B105" t="s">
        <v>97</v>
      </c>
      <c r="C105" t="s">
        <v>2103</v>
      </c>
      <c r="D105" t="s">
        <v>1549</v>
      </c>
    </row>
    <row r="106" spans="1:4">
      <c r="A106" t="s">
        <v>1806</v>
      </c>
      <c r="B106" t="s">
        <v>98</v>
      </c>
      <c r="C106" t="s">
        <v>2104</v>
      </c>
      <c r="D106" t="s">
        <v>1806</v>
      </c>
    </row>
    <row r="107" spans="1:4">
      <c r="A107" t="s">
        <v>1778</v>
      </c>
      <c r="B107" t="s">
        <v>99</v>
      </c>
      <c r="C107" t="s">
        <v>2105</v>
      </c>
      <c r="D107" t="s">
        <v>1778</v>
      </c>
    </row>
    <row r="108" spans="1:4">
      <c r="A108" t="s">
        <v>51</v>
      </c>
      <c r="B108" t="s">
        <v>100</v>
      </c>
      <c r="C108" t="s">
        <v>2106</v>
      </c>
      <c r="D108" t="s">
        <v>51</v>
      </c>
    </row>
    <row r="109" spans="1:4">
      <c r="A109" t="s">
        <v>59</v>
      </c>
      <c r="B109" t="s">
        <v>101</v>
      </c>
      <c r="C109" t="s">
        <v>2107</v>
      </c>
      <c r="D109" t="s">
        <v>59</v>
      </c>
    </row>
    <row r="110" spans="1:4">
      <c r="A110" t="s">
        <v>53</v>
      </c>
      <c r="B110" t="s">
        <v>102</v>
      </c>
      <c r="C110" t="s">
        <v>2108</v>
      </c>
      <c r="D110" t="s">
        <v>53</v>
      </c>
    </row>
    <row r="111" spans="1:4">
      <c r="A111" t="s">
        <v>52</v>
      </c>
      <c r="B111" t="s">
        <v>103</v>
      </c>
      <c r="C111" t="s">
        <v>2109</v>
      </c>
      <c r="D111" t="s">
        <v>52</v>
      </c>
    </row>
    <row r="112" spans="1:4">
      <c r="A112" t="s">
        <v>54</v>
      </c>
      <c r="B112" t="s">
        <v>104</v>
      </c>
      <c r="C112" t="s">
        <v>2377</v>
      </c>
      <c r="D112" t="s">
        <v>54</v>
      </c>
    </row>
    <row r="113" spans="1:4">
      <c r="A113" t="s">
        <v>55</v>
      </c>
      <c r="B113" t="s">
        <v>105</v>
      </c>
      <c r="C113" t="s">
        <v>2378</v>
      </c>
      <c r="D113" t="s">
        <v>55</v>
      </c>
    </row>
    <row r="114" spans="1:4">
      <c r="A114" t="s">
        <v>56</v>
      </c>
      <c r="B114" t="s">
        <v>106</v>
      </c>
      <c r="C114" t="s">
        <v>2379</v>
      </c>
      <c r="D114" t="s">
        <v>56</v>
      </c>
    </row>
    <row r="115" spans="1:4">
      <c r="A115" t="s">
        <v>57</v>
      </c>
      <c r="B115" t="s">
        <v>112</v>
      </c>
      <c r="C115" t="s">
        <v>2380</v>
      </c>
      <c r="D115" t="s">
        <v>57</v>
      </c>
    </row>
    <row r="116" spans="1:4">
      <c r="A116" t="s">
        <v>58</v>
      </c>
      <c r="B116" t="s">
        <v>113</v>
      </c>
      <c r="C116" t="s">
        <v>2381</v>
      </c>
      <c r="D116" t="s">
        <v>58</v>
      </c>
    </row>
    <row r="117" spans="1:4">
      <c r="A117" t="s">
        <v>1550</v>
      </c>
      <c r="B117" t="s">
        <v>114</v>
      </c>
      <c r="C117" t="s">
        <v>2382</v>
      </c>
      <c r="D117" t="s">
        <v>1550</v>
      </c>
    </row>
    <row r="118" spans="1:4">
      <c r="A118" t="s">
        <v>2271</v>
      </c>
      <c r="B118" t="s">
        <v>115</v>
      </c>
      <c r="C118" t="s">
        <v>2383</v>
      </c>
      <c r="D118" t="s">
        <v>2271</v>
      </c>
    </row>
    <row r="119" spans="1:4">
      <c r="A119" t="s">
        <v>2050</v>
      </c>
      <c r="B119" t="s">
        <v>1124</v>
      </c>
      <c r="C119" t="s">
        <v>2384</v>
      </c>
      <c r="D119" t="s">
        <v>2050</v>
      </c>
    </row>
    <row r="120" spans="1:4">
      <c r="A120" t="s">
        <v>1807</v>
      </c>
      <c r="B120" t="s">
        <v>117</v>
      </c>
      <c r="C120" t="s">
        <v>2385</v>
      </c>
      <c r="D120" t="s">
        <v>1807</v>
      </c>
    </row>
    <row r="121" spans="1:4">
      <c r="A121" t="s">
        <v>1808</v>
      </c>
      <c r="B121" t="s">
        <v>116</v>
      </c>
      <c r="C121" t="s">
        <v>2386</v>
      </c>
      <c r="D121" t="s">
        <v>1808</v>
      </c>
    </row>
    <row r="122" spans="1:4">
      <c r="A122" t="s">
        <v>1553</v>
      </c>
      <c r="B122" t="s">
        <v>1656</v>
      </c>
      <c r="C122" t="s">
        <v>2387</v>
      </c>
      <c r="D122" t="s">
        <v>1553</v>
      </c>
    </row>
    <row r="123" spans="1:4">
      <c r="A123" t="s">
        <v>1809</v>
      </c>
      <c r="B123" t="s">
        <v>1657</v>
      </c>
      <c r="C123" t="s">
        <v>2388</v>
      </c>
      <c r="D123" t="s">
        <v>1809</v>
      </c>
    </row>
    <row r="124" spans="1:4">
      <c r="A124" t="s">
        <v>1579</v>
      </c>
      <c r="B124" t="s">
        <v>1101</v>
      </c>
      <c r="C124" t="s">
        <v>2389</v>
      </c>
      <c r="D124" t="s">
        <v>1579</v>
      </c>
    </row>
    <row r="125" spans="1:4">
      <c r="A125" t="s">
        <v>1776</v>
      </c>
      <c r="B125" t="s">
        <v>1102</v>
      </c>
      <c r="C125" t="s">
        <v>2390</v>
      </c>
      <c r="D125" t="s">
        <v>1776</v>
      </c>
    </row>
    <row r="126" spans="1:4">
      <c r="A126" t="s">
        <v>1580</v>
      </c>
      <c r="B126" t="s">
        <v>1658</v>
      </c>
      <c r="C126" t="s">
        <v>2391</v>
      </c>
      <c r="D126" t="s">
        <v>1580</v>
      </c>
    </row>
    <row r="127" spans="1:4">
      <c r="A127" t="s">
        <v>60</v>
      </c>
      <c r="B127" t="s">
        <v>1659</v>
      </c>
      <c r="C127" t="s">
        <v>411</v>
      </c>
      <c r="D127" t="s">
        <v>60</v>
      </c>
    </row>
    <row r="128" spans="1:4">
      <c r="A128" t="s">
        <v>61</v>
      </c>
      <c r="B128" t="s">
        <v>1660</v>
      </c>
      <c r="C128" t="s">
        <v>176</v>
      </c>
      <c r="D128" t="s">
        <v>61</v>
      </c>
    </row>
    <row r="129" spans="1:4">
      <c r="A129" t="s">
        <v>2272</v>
      </c>
      <c r="B129" t="s">
        <v>1661</v>
      </c>
      <c r="C129" t="s">
        <v>177</v>
      </c>
      <c r="D129" t="s">
        <v>2272</v>
      </c>
    </row>
    <row r="130" spans="1:4">
      <c r="A130" t="s">
        <v>2278</v>
      </c>
      <c r="B130" t="s">
        <v>1662</v>
      </c>
      <c r="C130" t="s">
        <v>178</v>
      </c>
      <c r="D130" t="s">
        <v>2278</v>
      </c>
    </row>
    <row r="131" spans="1:4">
      <c r="A131" t="s">
        <v>2280</v>
      </c>
      <c r="B131" t="s">
        <v>1663</v>
      </c>
      <c r="C131" t="s">
        <v>179</v>
      </c>
      <c r="D131" t="s">
        <v>2280</v>
      </c>
    </row>
    <row r="132" spans="1:4">
      <c r="A132" t="s">
        <v>2322</v>
      </c>
      <c r="B132" t="s">
        <v>1664</v>
      </c>
      <c r="C132" t="s">
        <v>180</v>
      </c>
      <c r="D132" t="s">
        <v>2322</v>
      </c>
    </row>
    <row r="133" spans="1:4">
      <c r="A133" t="s">
        <v>2281</v>
      </c>
      <c r="B133" t="s">
        <v>1665</v>
      </c>
      <c r="C133" t="s">
        <v>181</v>
      </c>
      <c r="D133" t="s">
        <v>2281</v>
      </c>
    </row>
    <row r="134" spans="1:4">
      <c r="A134" t="s">
        <v>2275</v>
      </c>
      <c r="B134" t="s">
        <v>1666</v>
      </c>
      <c r="C134" t="s">
        <v>182</v>
      </c>
      <c r="D134" t="s">
        <v>2275</v>
      </c>
    </row>
    <row r="135" spans="1:4">
      <c r="A135" t="s">
        <v>2276</v>
      </c>
      <c r="B135" t="s">
        <v>1667</v>
      </c>
      <c r="C135" t="s">
        <v>183</v>
      </c>
      <c r="D135" t="s">
        <v>2276</v>
      </c>
    </row>
    <row r="136" spans="1:4">
      <c r="A136" t="s">
        <v>2274</v>
      </c>
      <c r="B136" t="s">
        <v>1668</v>
      </c>
      <c r="C136" t="s">
        <v>184</v>
      </c>
      <c r="D136" t="s">
        <v>2274</v>
      </c>
    </row>
    <row r="137" spans="1:4">
      <c r="A137" t="s">
        <v>2279</v>
      </c>
      <c r="B137" t="s">
        <v>1669</v>
      </c>
      <c r="C137" t="s">
        <v>185</v>
      </c>
      <c r="D137" t="s">
        <v>2279</v>
      </c>
    </row>
    <row r="138" spans="1:4">
      <c r="A138" t="s">
        <v>2277</v>
      </c>
      <c r="B138" t="s">
        <v>1670</v>
      </c>
      <c r="C138" t="s">
        <v>186</v>
      </c>
      <c r="D138" t="s">
        <v>2277</v>
      </c>
    </row>
    <row r="139" spans="1:4">
      <c r="A139" t="s">
        <v>62</v>
      </c>
      <c r="B139" t="s">
        <v>1671</v>
      </c>
      <c r="C139" t="s">
        <v>187</v>
      </c>
      <c r="D139" t="s">
        <v>62</v>
      </c>
    </row>
    <row r="140" spans="1:4">
      <c r="A140" t="s">
        <v>1726</v>
      </c>
      <c r="B140" t="s">
        <v>1672</v>
      </c>
      <c r="C140" t="s">
        <v>188</v>
      </c>
      <c r="D140" t="s">
        <v>1726</v>
      </c>
    </row>
    <row r="141" spans="1:4">
      <c r="A141" t="s">
        <v>1727</v>
      </c>
      <c r="B141" t="s">
        <v>1728</v>
      </c>
      <c r="C141" t="s">
        <v>189</v>
      </c>
      <c r="D141" t="s">
        <v>1727</v>
      </c>
    </row>
    <row r="142" spans="1:4">
      <c r="A142" t="s">
        <v>2310</v>
      </c>
      <c r="B142" t="s">
        <v>1673</v>
      </c>
      <c r="C142" t="s">
        <v>190</v>
      </c>
      <c r="D142" t="s">
        <v>2310</v>
      </c>
    </row>
    <row r="143" spans="1:4">
      <c r="A143" t="s">
        <v>2311</v>
      </c>
      <c r="B143" t="s">
        <v>1674</v>
      </c>
      <c r="C143" t="s">
        <v>191</v>
      </c>
      <c r="D143" t="s">
        <v>2311</v>
      </c>
    </row>
    <row r="144" spans="1:4">
      <c r="A144" t="s">
        <v>2314</v>
      </c>
      <c r="B144" t="s">
        <v>1675</v>
      </c>
      <c r="C144" t="s">
        <v>192</v>
      </c>
      <c r="D144" t="s">
        <v>2314</v>
      </c>
    </row>
    <row r="145" spans="1:4">
      <c r="A145" t="s">
        <v>2312</v>
      </c>
      <c r="B145" t="s">
        <v>1676</v>
      </c>
      <c r="C145" t="s">
        <v>193</v>
      </c>
      <c r="D145" t="s">
        <v>2312</v>
      </c>
    </row>
    <row r="146" spans="1:4">
      <c r="A146" t="s">
        <v>2316</v>
      </c>
      <c r="B146" t="s">
        <v>1677</v>
      </c>
      <c r="C146" t="s">
        <v>194</v>
      </c>
      <c r="D146" t="s">
        <v>2316</v>
      </c>
    </row>
    <row r="147" spans="1:4">
      <c r="A147" t="s">
        <v>2319</v>
      </c>
      <c r="B147" t="s">
        <v>1678</v>
      </c>
      <c r="C147" t="s">
        <v>195</v>
      </c>
      <c r="D147" t="s">
        <v>2319</v>
      </c>
    </row>
    <row r="148" spans="1:4">
      <c r="A148" t="s">
        <v>2320</v>
      </c>
      <c r="B148" t="s">
        <v>1679</v>
      </c>
      <c r="C148" t="s">
        <v>196</v>
      </c>
      <c r="D148" t="s">
        <v>2320</v>
      </c>
    </row>
    <row r="149" spans="1:4">
      <c r="A149" t="s">
        <v>2317</v>
      </c>
      <c r="B149" t="s">
        <v>1680</v>
      </c>
      <c r="C149" t="s">
        <v>197</v>
      </c>
      <c r="D149" t="s">
        <v>2317</v>
      </c>
    </row>
    <row r="150" spans="1:4">
      <c r="A150" t="s">
        <v>2318</v>
      </c>
      <c r="B150" t="s">
        <v>1681</v>
      </c>
      <c r="C150" t="s">
        <v>198</v>
      </c>
      <c r="D150" t="s">
        <v>2318</v>
      </c>
    </row>
    <row r="151" spans="1:4">
      <c r="A151" t="s">
        <v>63</v>
      </c>
      <c r="B151" t="s">
        <v>1682</v>
      </c>
      <c r="C151" t="s">
        <v>199</v>
      </c>
      <c r="D151" t="s">
        <v>63</v>
      </c>
    </row>
    <row r="152" spans="1:4">
      <c r="A152" t="s">
        <v>2323</v>
      </c>
      <c r="B152" t="s">
        <v>1683</v>
      </c>
      <c r="C152" t="s">
        <v>1894</v>
      </c>
      <c r="D152" t="s">
        <v>2323</v>
      </c>
    </row>
    <row r="153" spans="1:4">
      <c r="A153" t="s">
        <v>2324</v>
      </c>
      <c r="B153" t="s">
        <v>1684</v>
      </c>
      <c r="C153" t="s">
        <v>1895</v>
      </c>
      <c r="D153" t="s">
        <v>2324</v>
      </c>
    </row>
    <row r="154" spans="1:4">
      <c r="A154" t="s">
        <v>2325</v>
      </c>
      <c r="B154" t="s">
        <v>1685</v>
      </c>
      <c r="C154" t="s">
        <v>1896</v>
      </c>
      <c r="D154" t="s">
        <v>2325</v>
      </c>
    </row>
    <row r="155" spans="1:4">
      <c r="A155" t="s">
        <v>1832</v>
      </c>
      <c r="B155" t="s">
        <v>762</v>
      </c>
      <c r="C155" t="s">
        <v>1897</v>
      </c>
      <c r="D155" t="s">
        <v>1832</v>
      </c>
    </row>
    <row r="156" spans="1:4">
      <c r="A156" t="s">
        <v>1835</v>
      </c>
      <c r="B156" t="s">
        <v>1112</v>
      </c>
      <c r="C156" t="s">
        <v>1898</v>
      </c>
      <c r="D156" t="s">
        <v>1835</v>
      </c>
    </row>
    <row r="157" spans="1:4">
      <c r="A157" t="s">
        <v>2075</v>
      </c>
      <c r="B157" t="s">
        <v>763</v>
      </c>
      <c r="C157" t="s">
        <v>1899</v>
      </c>
      <c r="D157" t="s">
        <v>2075</v>
      </c>
    </row>
    <row r="158" spans="1:4">
      <c r="A158" t="s">
        <v>2076</v>
      </c>
      <c r="B158" t="s">
        <v>1113</v>
      </c>
      <c r="C158" t="s">
        <v>1900</v>
      </c>
      <c r="D158" t="s">
        <v>2076</v>
      </c>
    </row>
    <row r="159" spans="1:4">
      <c r="A159" t="s">
        <v>2078</v>
      </c>
      <c r="B159" t="s">
        <v>1114</v>
      </c>
      <c r="C159" t="s">
        <v>1901</v>
      </c>
      <c r="D159" t="s">
        <v>2078</v>
      </c>
    </row>
    <row r="160" spans="1:4">
      <c r="A160" t="s">
        <v>2079</v>
      </c>
      <c r="B160" t="s">
        <v>747</v>
      </c>
      <c r="C160" t="s">
        <v>1326</v>
      </c>
      <c r="D160" t="s">
        <v>2079</v>
      </c>
    </row>
    <row r="161" spans="1:4">
      <c r="A161" t="s">
        <v>1833</v>
      </c>
      <c r="B161" t="s">
        <v>1115</v>
      </c>
      <c r="C161" t="s">
        <v>1327</v>
      </c>
      <c r="D161" t="s">
        <v>1833</v>
      </c>
    </row>
    <row r="162" spans="1:4">
      <c r="A162" t="s">
        <v>1928</v>
      </c>
      <c r="B162" t="s">
        <v>1929</v>
      </c>
      <c r="C162" t="s">
        <v>1328</v>
      </c>
      <c r="D162" t="s">
        <v>1928</v>
      </c>
    </row>
    <row r="163" spans="1:4">
      <c r="A163" t="s">
        <v>2081</v>
      </c>
      <c r="B163" t="s">
        <v>1117</v>
      </c>
      <c r="C163" t="s">
        <v>1329</v>
      </c>
      <c r="D163" t="s">
        <v>2081</v>
      </c>
    </row>
    <row r="164" spans="1:4">
      <c r="A164" t="s">
        <v>1828</v>
      </c>
      <c r="B164" t="s">
        <v>1118</v>
      </c>
      <c r="C164" t="s">
        <v>1330</v>
      </c>
      <c r="D164" t="s">
        <v>1828</v>
      </c>
    </row>
    <row r="165" spans="1:4">
      <c r="A165" t="s">
        <v>1830</v>
      </c>
      <c r="B165" t="s">
        <v>1120</v>
      </c>
      <c r="C165" t="s">
        <v>1331</v>
      </c>
      <c r="D165" t="s">
        <v>1830</v>
      </c>
    </row>
    <row r="166" spans="1:4">
      <c r="A166" t="s">
        <v>1842</v>
      </c>
      <c r="B166" t="s">
        <v>1121</v>
      </c>
      <c r="C166" t="s">
        <v>1332</v>
      </c>
      <c r="D166" t="s">
        <v>1842</v>
      </c>
    </row>
    <row r="167" spans="1:4">
      <c r="A167" t="s">
        <v>1838</v>
      </c>
      <c r="B167" t="s">
        <v>1122</v>
      </c>
      <c r="C167" t="s">
        <v>1333</v>
      </c>
      <c r="D167" t="s">
        <v>1838</v>
      </c>
    </row>
    <row r="168" spans="1:4">
      <c r="A168" t="s">
        <v>1829</v>
      </c>
      <c r="B168" t="s">
        <v>1123</v>
      </c>
      <c r="C168" t="s">
        <v>1334</v>
      </c>
      <c r="D168" t="s">
        <v>1829</v>
      </c>
    </row>
    <row r="169" spans="1:4">
      <c r="A169" t="s">
        <v>1831</v>
      </c>
      <c r="B169" t="s">
        <v>1657</v>
      </c>
      <c r="C169" t="s">
        <v>2388</v>
      </c>
      <c r="D169" t="s">
        <v>1831</v>
      </c>
    </row>
    <row r="170" spans="1:4">
      <c r="A170" t="s">
        <v>1836</v>
      </c>
      <c r="B170" t="s">
        <v>740</v>
      </c>
      <c r="C170" t="s">
        <v>220</v>
      </c>
      <c r="D170" t="s">
        <v>1836</v>
      </c>
    </row>
    <row r="171" spans="1:4">
      <c r="A171" t="s">
        <v>1837</v>
      </c>
      <c r="B171" t="s">
        <v>741</v>
      </c>
      <c r="C171" t="s">
        <v>221</v>
      </c>
      <c r="D171" t="s">
        <v>1837</v>
      </c>
    </row>
    <row r="172" spans="1:4">
      <c r="A172" t="s">
        <v>1839</v>
      </c>
      <c r="B172" t="s">
        <v>742</v>
      </c>
      <c r="C172" t="s">
        <v>222</v>
      </c>
      <c r="D172" t="s">
        <v>1839</v>
      </c>
    </row>
    <row r="173" spans="1:4">
      <c r="A173" t="s">
        <v>1840</v>
      </c>
      <c r="B173" t="s">
        <v>748</v>
      </c>
      <c r="C173" t="s">
        <v>223</v>
      </c>
      <c r="D173" t="s">
        <v>1840</v>
      </c>
    </row>
    <row r="174" spans="1:4">
      <c r="A174" t="s">
        <v>1841</v>
      </c>
      <c r="B174" t="s">
        <v>743</v>
      </c>
      <c r="C174" t="s">
        <v>224</v>
      </c>
      <c r="D174" t="s">
        <v>1841</v>
      </c>
    </row>
    <row r="175" spans="1:4">
      <c r="A175" t="s">
        <v>2077</v>
      </c>
      <c r="B175" t="s">
        <v>744</v>
      </c>
      <c r="C175" t="s">
        <v>225</v>
      </c>
      <c r="D175" t="s">
        <v>2077</v>
      </c>
    </row>
    <row r="176" spans="1:4">
      <c r="A176" t="s">
        <v>2080</v>
      </c>
      <c r="B176" t="s">
        <v>744</v>
      </c>
      <c r="C176" t="s">
        <v>226</v>
      </c>
      <c r="D176" t="s">
        <v>2080</v>
      </c>
    </row>
    <row r="177" spans="1:4">
      <c r="A177" t="s">
        <v>1844</v>
      </c>
      <c r="B177" t="s">
        <v>745</v>
      </c>
      <c r="C177" t="s">
        <v>227</v>
      </c>
      <c r="D177" t="s">
        <v>1844</v>
      </c>
    </row>
    <row r="178" spans="1:4">
      <c r="A178" t="s">
        <v>1832</v>
      </c>
      <c r="B178" t="s">
        <v>746</v>
      </c>
      <c r="C178" t="s">
        <v>228</v>
      </c>
      <c r="D178" t="s">
        <v>1832</v>
      </c>
    </row>
    <row r="179" spans="1:4">
      <c r="A179" t="s">
        <v>1834</v>
      </c>
      <c r="B179" t="s">
        <v>1116</v>
      </c>
      <c r="C179" t="s">
        <v>229</v>
      </c>
      <c r="D179" t="s">
        <v>1834</v>
      </c>
    </row>
    <row r="180" spans="1:4">
      <c r="A180" t="s">
        <v>2081</v>
      </c>
      <c r="B180" t="s">
        <v>1117</v>
      </c>
      <c r="C180" t="s">
        <v>1329</v>
      </c>
      <c r="D180" t="s">
        <v>2081</v>
      </c>
    </row>
    <row r="181" spans="1:4">
      <c r="A181" t="s">
        <v>1828</v>
      </c>
      <c r="B181" t="s">
        <v>1118</v>
      </c>
      <c r="C181" t="s">
        <v>230</v>
      </c>
      <c r="D181" t="s">
        <v>1828</v>
      </c>
    </row>
    <row r="182" spans="1:4">
      <c r="A182" t="s">
        <v>1845</v>
      </c>
      <c r="B182" t="s">
        <v>1119</v>
      </c>
      <c r="C182" t="s">
        <v>231</v>
      </c>
      <c r="D182" t="s">
        <v>1845</v>
      </c>
    </row>
    <row r="183" spans="1:4">
      <c r="A183" t="s">
        <v>1829</v>
      </c>
      <c r="B183" t="s">
        <v>1123</v>
      </c>
      <c r="C183" t="s">
        <v>1334</v>
      </c>
      <c r="D183" t="s">
        <v>1829</v>
      </c>
    </row>
    <row r="184" spans="1:4">
      <c r="A184" t="s">
        <v>2079</v>
      </c>
      <c r="B184" t="s">
        <v>747</v>
      </c>
      <c r="C184" t="s">
        <v>1326</v>
      </c>
      <c r="D184" t="s">
        <v>2079</v>
      </c>
    </row>
    <row r="185" spans="1:4">
      <c r="A185" t="s">
        <v>1831</v>
      </c>
      <c r="B185" t="s">
        <v>1657</v>
      </c>
      <c r="C185" t="s">
        <v>2388</v>
      </c>
      <c r="D185" t="s">
        <v>1831</v>
      </c>
    </row>
    <row r="186" spans="1:4">
      <c r="A186" t="s">
        <v>1837</v>
      </c>
      <c r="B186" t="s">
        <v>741</v>
      </c>
      <c r="C186" t="s">
        <v>221</v>
      </c>
      <c r="D186" t="s">
        <v>1837</v>
      </c>
    </row>
    <row r="187" spans="1:4">
      <c r="A187" t="s">
        <v>1846</v>
      </c>
      <c r="B187" t="s">
        <v>742</v>
      </c>
      <c r="C187" t="s">
        <v>232</v>
      </c>
      <c r="D187" t="s">
        <v>1846</v>
      </c>
    </row>
    <row r="188" spans="1:4">
      <c r="A188" t="s">
        <v>1847</v>
      </c>
      <c r="B188" t="s">
        <v>748</v>
      </c>
      <c r="C188" t="s">
        <v>233</v>
      </c>
      <c r="D188" t="s">
        <v>1847</v>
      </c>
    </row>
    <row r="189" spans="1:4">
      <c r="A189" t="s">
        <v>1848</v>
      </c>
      <c r="B189" t="s">
        <v>743</v>
      </c>
      <c r="C189" t="s">
        <v>234</v>
      </c>
      <c r="D189" t="s">
        <v>1848</v>
      </c>
    </row>
    <row r="190" spans="1:4">
      <c r="A190" t="s">
        <v>1843</v>
      </c>
      <c r="B190" t="s">
        <v>749</v>
      </c>
      <c r="C190" t="s">
        <v>468</v>
      </c>
      <c r="D190" t="s">
        <v>1843</v>
      </c>
    </row>
    <row r="191" spans="1:4">
      <c r="A191" t="s">
        <v>1849</v>
      </c>
      <c r="B191" t="s">
        <v>750</v>
      </c>
      <c r="C191" t="s">
        <v>469</v>
      </c>
      <c r="D191" t="s">
        <v>1849</v>
      </c>
    </row>
    <row r="192" spans="1:4">
      <c r="A192" t="s">
        <v>1850</v>
      </c>
      <c r="B192" t="s">
        <v>751</v>
      </c>
      <c r="C192" t="s">
        <v>470</v>
      </c>
      <c r="D192" t="s">
        <v>1850</v>
      </c>
    </row>
    <row r="193" spans="1:4">
      <c r="A193" t="s">
        <v>64</v>
      </c>
      <c r="B193" t="s">
        <v>752</v>
      </c>
      <c r="C193" t="s">
        <v>752</v>
      </c>
      <c r="D193" t="s">
        <v>64</v>
      </c>
    </row>
    <row r="194" spans="1:4">
      <c r="A194" t="s">
        <v>938</v>
      </c>
      <c r="B194" t="s">
        <v>753</v>
      </c>
      <c r="C194" t="s">
        <v>471</v>
      </c>
      <c r="D194" t="s">
        <v>938</v>
      </c>
    </row>
    <row r="195" spans="1:4">
      <c r="A195" t="s">
        <v>649</v>
      </c>
      <c r="B195" t="s">
        <v>754</v>
      </c>
      <c r="C195" t="s">
        <v>472</v>
      </c>
      <c r="D195" t="s">
        <v>649</v>
      </c>
    </row>
    <row r="196" spans="1:4">
      <c r="A196" t="s">
        <v>939</v>
      </c>
      <c r="B196" t="s">
        <v>755</v>
      </c>
      <c r="C196" t="s">
        <v>473</v>
      </c>
      <c r="D196" t="s">
        <v>939</v>
      </c>
    </row>
    <row r="197" spans="1:4">
      <c r="A197" t="s">
        <v>937</v>
      </c>
      <c r="B197" t="s">
        <v>756</v>
      </c>
      <c r="C197" t="s">
        <v>474</v>
      </c>
      <c r="D197" t="s">
        <v>937</v>
      </c>
    </row>
    <row r="198" spans="1:4">
      <c r="A198" t="s">
        <v>940</v>
      </c>
      <c r="B198" t="s">
        <v>1119</v>
      </c>
      <c r="C198" t="s">
        <v>475</v>
      </c>
      <c r="D198" t="s">
        <v>940</v>
      </c>
    </row>
    <row r="199" spans="1:4">
      <c r="A199" t="s">
        <v>943</v>
      </c>
      <c r="B199" t="s">
        <v>757</v>
      </c>
      <c r="C199" t="s">
        <v>476</v>
      </c>
      <c r="D199" t="s">
        <v>943</v>
      </c>
    </row>
    <row r="200" spans="1:4">
      <c r="A200" t="s">
        <v>944</v>
      </c>
      <c r="B200" t="s">
        <v>760</v>
      </c>
      <c r="C200" t="s">
        <v>477</v>
      </c>
      <c r="D200" t="s">
        <v>944</v>
      </c>
    </row>
    <row r="201" spans="1:4">
      <c r="A201" t="s">
        <v>1994</v>
      </c>
      <c r="B201" t="s">
        <v>761</v>
      </c>
      <c r="C201" t="s">
        <v>478</v>
      </c>
      <c r="D201" t="s">
        <v>1994</v>
      </c>
    </row>
    <row r="202" spans="1:4">
      <c r="A202" t="s">
        <v>1995</v>
      </c>
      <c r="B202" t="s">
        <v>1482</v>
      </c>
      <c r="C202" t="s">
        <v>251</v>
      </c>
      <c r="D202" t="s">
        <v>1995</v>
      </c>
    </row>
    <row r="203" spans="1:4">
      <c r="A203" t="s">
        <v>946</v>
      </c>
      <c r="B203" t="s">
        <v>1089</v>
      </c>
      <c r="C203" t="s">
        <v>252</v>
      </c>
      <c r="D203" t="s">
        <v>946</v>
      </c>
    </row>
    <row r="204" spans="1:4">
      <c r="A204" t="s">
        <v>947</v>
      </c>
      <c r="B204" t="s">
        <v>1483</v>
      </c>
      <c r="C204" t="s">
        <v>253</v>
      </c>
      <c r="D204" t="s">
        <v>947</v>
      </c>
    </row>
    <row r="205" spans="1:4">
      <c r="A205" t="s">
        <v>948</v>
      </c>
      <c r="B205" t="s">
        <v>1485</v>
      </c>
      <c r="C205" t="s">
        <v>254</v>
      </c>
      <c r="D205" t="s">
        <v>948</v>
      </c>
    </row>
    <row r="206" spans="1:4">
      <c r="A206" t="s">
        <v>949</v>
      </c>
      <c r="B206" t="s">
        <v>1484</v>
      </c>
      <c r="C206" t="s">
        <v>255</v>
      </c>
      <c r="D206" t="s">
        <v>949</v>
      </c>
    </row>
    <row r="207" spans="1:4">
      <c r="A207" t="s">
        <v>945</v>
      </c>
      <c r="B207" t="s">
        <v>1486</v>
      </c>
      <c r="C207" t="s">
        <v>256</v>
      </c>
      <c r="D207" t="s">
        <v>945</v>
      </c>
    </row>
    <row r="208" spans="1:4">
      <c r="A208" t="s">
        <v>950</v>
      </c>
      <c r="B208" t="s">
        <v>1487</v>
      </c>
      <c r="C208" t="s">
        <v>257</v>
      </c>
      <c r="D208" t="s">
        <v>950</v>
      </c>
    </row>
    <row r="209" spans="1:4">
      <c r="A209" t="s">
        <v>951</v>
      </c>
      <c r="B209" t="s">
        <v>1488</v>
      </c>
      <c r="C209" t="s">
        <v>258</v>
      </c>
      <c r="D209" t="s">
        <v>951</v>
      </c>
    </row>
    <row r="210" spans="1:4">
      <c r="A210" t="s">
        <v>952</v>
      </c>
      <c r="B210" t="s">
        <v>1489</v>
      </c>
      <c r="C210" t="s">
        <v>259</v>
      </c>
      <c r="D210" t="s">
        <v>952</v>
      </c>
    </row>
    <row r="211" spans="1:4">
      <c r="A211" t="s">
        <v>953</v>
      </c>
      <c r="B211" t="s">
        <v>1490</v>
      </c>
      <c r="C211" t="s">
        <v>260</v>
      </c>
      <c r="D211" t="s">
        <v>953</v>
      </c>
    </row>
    <row r="212" spans="1:4">
      <c r="A212" t="s">
        <v>2001</v>
      </c>
      <c r="B212" t="s">
        <v>1491</v>
      </c>
      <c r="C212" t="s">
        <v>261</v>
      </c>
      <c r="D212" t="s">
        <v>2001</v>
      </c>
    </row>
    <row r="213" spans="1:4">
      <c r="A213" t="s">
        <v>1998</v>
      </c>
      <c r="B213" t="s">
        <v>1492</v>
      </c>
      <c r="C213" t="s">
        <v>262</v>
      </c>
      <c r="D213" t="s">
        <v>1998</v>
      </c>
    </row>
    <row r="214" spans="1:4">
      <c r="A214" t="s">
        <v>2002</v>
      </c>
      <c r="B214" t="s">
        <v>1496</v>
      </c>
      <c r="C214" t="s">
        <v>263</v>
      </c>
      <c r="D214" t="s">
        <v>2002</v>
      </c>
    </row>
    <row r="215" spans="1:4">
      <c r="A215" t="s">
        <v>2003</v>
      </c>
      <c r="B215" t="s">
        <v>1495</v>
      </c>
      <c r="C215" t="s">
        <v>264</v>
      </c>
      <c r="D215" t="s">
        <v>2003</v>
      </c>
    </row>
    <row r="216" spans="1:4">
      <c r="A216" t="s">
        <v>947</v>
      </c>
      <c r="B216" t="s">
        <v>1483</v>
      </c>
      <c r="C216" t="s">
        <v>253</v>
      </c>
      <c r="D216" t="s">
        <v>1996</v>
      </c>
    </row>
    <row r="217" spans="1:4">
      <c r="A217" t="s">
        <v>1997</v>
      </c>
      <c r="B217" t="s">
        <v>1485</v>
      </c>
      <c r="C217" t="s">
        <v>265</v>
      </c>
      <c r="D217" t="s">
        <v>1997</v>
      </c>
    </row>
    <row r="218" spans="1:4">
      <c r="A218" t="s">
        <v>949</v>
      </c>
      <c r="B218" t="s">
        <v>1484</v>
      </c>
      <c r="C218" t="s">
        <v>255</v>
      </c>
      <c r="D218" t="s">
        <v>949</v>
      </c>
    </row>
    <row r="219" spans="1:4">
      <c r="A219" t="s">
        <v>950</v>
      </c>
      <c r="B219" t="s">
        <v>1487</v>
      </c>
      <c r="C219" t="s">
        <v>266</v>
      </c>
      <c r="D219" t="s">
        <v>950</v>
      </c>
    </row>
    <row r="220" spans="1:4">
      <c r="A220" t="s">
        <v>951</v>
      </c>
      <c r="B220" t="s">
        <v>1488</v>
      </c>
      <c r="C220" t="s">
        <v>267</v>
      </c>
      <c r="D220" t="s">
        <v>951</v>
      </c>
    </row>
    <row r="221" spans="1:4">
      <c r="A221" t="s">
        <v>952</v>
      </c>
      <c r="B221" t="s">
        <v>1489</v>
      </c>
      <c r="C221" t="s">
        <v>259</v>
      </c>
      <c r="D221" t="s">
        <v>952</v>
      </c>
    </row>
    <row r="222" spans="1:4">
      <c r="A222" t="s">
        <v>1058</v>
      </c>
      <c r="B222" t="s">
        <v>1497</v>
      </c>
      <c r="C222" t="s">
        <v>268</v>
      </c>
      <c r="D222" t="s">
        <v>1058</v>
      </c>
    </row>
    <row r="223" spans="1:4">
      <c r="A223" t="s">
        <v>1059</v>
      </c>
      <c r="B223" t="s">
        <v>1498</v>
      </c>
      <c r="C223" t="s">
        <v>269</v>
      </c>
      <c r="D223" t="s">
        <v>1059</v>
      </c>
    </row>
    <row r="224" spans="1:4">
      <c r="A224" t="s">
        <v>1060</v>
      </c>
      <c r="B224" t="s">
        <v>1499</v>
      </c>
      <c r="C224" t="s">
        <v>1912</v>
      </c>
      <c r="D224" t="s">
        <v>1060</v>
      </c>
    </row>
    <row r="225" spans="1:4">
      <c r="A225" t="s">
        <v>1061</v>
      </c>
      <c r="B225" t="s">
        <v>1500</v>
      </c>
      <c r="C225" t="s">
        <v>1913</v>
      </c>
      <c r="D225" t="s">
        <v>1061</v>
      </c>
    </row>
    <row r="226" spans="1:4">
      <c r="A226" t="s">
        <v>47</v>
      </c>
      <c r="B226" t="s">
        <v>1501</v>
      </c>
      <c r="C226" t="s">
        <v>1914</v>
      </c>
      <c r="D226" t="s">
        <v>47</v>
      </c>
    </row>
    <row r="227" spans="1:4">
      <c r="A227" t="s">
        <v>33</v>
      </c>
      <c r="B227" t="s">
        <v>1502</v>
      </c>
      <c r="C227" t="s">
        <v>1915</v>
      </c>
      <c r="D227" t="s">
        <v>33</v>
      </c>
    </row>
    <row r="228" spans="1:4">
      <c r="A228" t="s">
        <v>35</v>
      </c>
      <c r="B228" t="s">
        <v>1503</v>
      </c>
      <c r="C228" t="s">
        <v>1916</v>
      </c>
      <c r="D228" t="s">
        <v>35</v>
      </c>
    </row>
    <row r="229" spans="1:4">
      <c r="A229" t="s">
        <v>36</v>
      </c>
      <c r="B229" t="s">
        <v>1504</v>
      </c>
      <c r="C229" t="s">
        <v>1917</v>
      </c>
      <c r="D229" t="s">
        <v>36</v>
      </c>
    </row>
    <row r="230" spans="1:4">
      <c r="A230" t="s">
        <v>38</v>
      </c>
      <c r="B230" t="s">
        <v>1510</v>
      </c>
      <c r="C230" t="s">
        <v>1918</v>
      </c>
      <c r="D230" t="s">
        <v>38</v>
      </c>
    </row>
    <row r="231" spans="1:4">
      <c r="A231" t="s">
        <v>1568</v>
      </c>
      <c r="B231" t="s">
        <v>1505</v>
      </c>
      <c r="C231" t="s">
        <v>1919</v>
      </c>
      <c r="D231" t="s">
        <v>1568</v>
      </c>
    </row>
    <row r="232" spans="1:4">
      <c r="A232" t="s">
        <v>37</v>
      </c>
      <c r="B232" t="s">
        <v>1506</v>
      </c>
      <c r="C232" t="s">
        <v>1920</v>
      </c>
      <c r="D232" t="s">
        <v>37</v>
      </c>
    </row>
    <row r="233" spans="1:4">
      <c r="A233" t="s">
        <v>34</v>
      </c>
      <c r="B233" t="s">
        <v>1507</v>
      </c>
      <c r="C233" t="s">
        <v>1921</v>
      </c>
      <c r="D233" t="s">
        <v>34</v>
      </c>
    </row>
    <row r="234" spans="1:4">
      <c r="A234" t="s">
        <v>1508</v>
      </c>
      <c r="B234" t="s">
        <v>1509</v>
      </c>
      <c r="C234" t="s">
        <v>2187</v>
      </c>
      <c r="D234" t="s">
        <v>35</v>
      </c>
    </row>
    <row r="235" spans="1:4">
      <c r="A235" t="s">
        <v>36</v>
      </c>
      <c r="B235" t="s">
        <v>1504</v>
      </c>
      <c r="C235" t="s">
        <v>2188</v>
      </c>
      <c r="D235" t="s">
        <v>36</v>
      </c>
    </row>
    <row r="236" spans="1:4">
      <c r="A236" t="s">
        <v>38</v>
      </c>
      <c r="B236" t="s">
        <v>1510</v>
      </c>
      <c r="C236" t="s">
        <v>1918</v>
      </c>
      <c r="D236" t="s">
        <v>38</v>
      </c>
    </row>
    <row r="237" spans="1:4">
      <c r="A237" t="s">
        <v>271</v>
      </c>
      <c r="B237" t="s">
        <v>1511</v>
      </c>
      <c r="C237" t="s">
        <v>2189</v>
      </c>
      <c r="D237" t="s">
        <v>271</v>
      </c>
    </row>
    <row r="238" spans="1:4">
      <c r="A238" t="s">
        <v>39</v>
      </c>
      <c r="B238" t="s">
        <v>1515</v>
      </c>
      <c r="C238" t="s">
        <v>2190</v>
      </c>
      <c r="D238" t="s">
        <v>39</v>
      </c>
    </row>
    <row r="239" spans="1:4">
      <c r="A239" t="s">
        <v>2050</v>
      </c>
      <c r="B239" t="s">
        <v>1512</v>
      </c>
      <c r="C239" t="s">
        <v>2191</v>
      </c>
      <c r="D239" t="s">
        <v>2050</v>
      </c>
    </row>
    <row r="240" spans="1:4">
      <c r="A240" t="s">
        <v>48</v>
      </c>
      <c r="B240" t="s">
        <v>1513</v>
      </c>
      <c r="C240" t="s">
        <v>2192</v>
      </c>
      <c r="D240" t="s">
        <v>48</v>
      </c>
    </row>
    <row r="241" spans="1:4">
      <c r="A241" t="s">
        <v>49</v>
      </c>
      <c r="B241" t="s">
        <v>1514</v>
      </c>
      <c r="C241" t="s">
        <v>2193</v>
      </c>
      <c r="D241" t="s">
        <v>49</v>
      </c>
    </row>
    <row r="242" spans="1:4">
      <c r="A242" t="s">
        <v>50</v>
      </c>
      <c r="B242" t="s">
        <v>1516</v>
      </c>
      <c r="C242" t="s">
        <v>2194</v>
      </c>
      <c r="D242" t="s">
        <v>50</v>
      </c>
    </row>
    <row r="243" spans="1:4">
      <c r="A243" t="s">
        <v>921</v>
      </c>
      <c r="B243" t="s">
        <v>805</v>
      </c>
      <c r="C243" t="s">
        <v>2195</v>
      </c>
      <c r="D243" t="s">
        <v>921</v>
      </c>
    </row>
    <row r="244" spans="1:4">
      <c r="A244" t="s">
        <v>922</v>
      </c>
      <c r="B244" t="s">
        <v>806</v>
      </c>
      <c r="C244" t="s">
        <v>2196</v>
      </c>
      <c r="D244" t="s">
        <v>922</v>
      </c>
    </row>
    <row r="245" spans="1:4">
      <c r="A245" t="s">
        <v>270</v>
      </c>
      <c r="B245" t="s">
        <v>802</v>
      </c>
      <c r="C245" t="s">
        <v>2197</v>
      </c>
      <c r="D245" t="s">
        <v>270</v>
      </c>
    </row>
    <row r="246" spans="1:4">
      <c r="A246" t="s">
        <v>921</v>
      </c>
      <c r="B246" t="s">
        <v>805</v>
      </c>
      <c r="C246" t="s">
        <v>961</v>
      </c>
      <c r="D246" t="s">
        <v>921</v>
      </c>
    </row>
    <row r="247" spans="1:4">
      <c r="A247" t="s">
        <v>922</v>
      </c>
      <c r="B247" t="s">
        <v>806</v>
      </c>
      <c r="C247" t="s">
        <v>2196</v>
      </c>
      <c r="D247" t="s">
        <v>922</v>
      </c>
    </row>
    <row r="248" spans="1:4">
      <c r="A248" t="s">
        <v>272</v>
      </c>
      <c r="B248" t="s">
        <v>807</v>
      </c>
      <c r="C248" t="s">
        <v>962</v>
      </c>
      <c r="D248" t="s">
        <v>272</v>
      </c>
    </row>
    <row r="249" spans="1:4">
      <c r="A249" t="s">
        <v>273</v>
      </c>
      <c r="B249" t="s">
        <v>808</v>
      </c>
      <c r="C249" t="s">
        <v>963</v>
      </c>
      <c r="D249" t="s">
        <v>273</v>
      </c>
    </row>
    <row r="250" spans="1:4">
      <c r="A250" t="s">
        <v>2050</v>
      </c>
      <c r="B250" t="s">
        <v>1124</v>
      </c>
      <c r="C250" t="s">
        <v>2384</v>
      </c>
      <c r="D250" t="s">
        <v>2050</v>
      </c>
    </row>
    <row r="251" spans="1:4">
      <c r="A251" t="s">
        <v>1807</v>
      </c>
      <c r="B251" t="s">
        <v>117</v>
      </c>
      <c r="C251" t="s">
        <v>2385</v>
      </c>
      <c r="D251" t="s">
        <v>1807</v>
      </c>
    </row>
    <row r="252" spans="1:4">
      <c r="A252" t="s">
        <v>1808</v>
      </c>
      <c r="B252" t="s">
        <v>116</v>
      </c>
      <c r="C252" t="s">
        <v>2386</v>
      </c>
      <c r="D252" t="s">
        <v>1808</v>
      </c>
    </row>
    <row r="253" spans="1:4">
      <c r="A253" t="s">
        <v>274</v>
      </c>
      <c r="B253" t="s">
        <v>809</v>
      </c>
      <c r="C253" t="s">
        <v>964</v>
      </c>
      <c r="D253" t="s">
        <v>274</v>
      </c>
    </row>
    <row r="254" spans="1:4">
      <c r="A254" t="s">
        <v>921</v>
      </c>
      <c r="B254" t="s">
        <v>805</v>
      </c>
      <c r="C254" t="s">
        <v>965</v>
      </c>
      <c r="D254" t="s">
        <v>921</v>
      </c>
    </row>
    <row r="255" spans="1:4">
      <c r="A255" t="s">
        <v>922</v>
      </c>
      <c r="B255" t="s">
        <v>806</v>
      </c>
      <c r="C255" t="s">
        <v>2196</v>
      </c>
      <c r="D255" t="s">
        <v>922</v>
      </c>
    </row>
    <row r="256" spans="1:4">
      <c r="A256" t="s">
        <v>275</v>
      </c>
      <c r="B256" t="s">
        <v>810</v>
      </c>
      <c r="C256" t="s">
        <v>966</v>
      </c>
      <c r="D256" t="s">
        <v>275</v>
      </c>
    </row>
    <row r="257" spans="1:4">
      <c r="A257" t="s">
        <v>921</v>
      </c>
      <c r="B257" t="s">
        <v>805</v>
      </c>
      <c r="C257" t="s">
        <v>967</v>
      </c>
      <c r="D257" t="s">
        <v>921</v>
      </c>
    </row>
    <row r="258" spans="1:4">
      <c r="A258" t="s">
        <v>922</v>
      </c>
      <c r="B258" t="s">
        <v>806</v>
      </c>
      <c r="C258" t="s">
        <v>2196</v>
      </c>
      <c r="D258" t="s">
        <v>922</v>
      </c>
    </row>
    <row r="259" spans="1:4">
      <c r="A259" t="s">
        <v>276</v>
      </c>
      <c r="B259" t="s">
        <v>811</v>
      </c>
      <c r="C259" t="s">
        <v>968</v>
      </c>
      <c r="D259" t="s">
        <v>276</v>
      </c>
    </row>
    <row r="260" spans="1:4">
      <c r="A260" t="s">
        <v>144</v>
      </c>
      <c r="B260" t="s">
        <v>145</v>
      </c>
      <c r="C260" t="s">
        <v>969</v>
      </c>
      <c r="D260" t="s">
        <v>144</v>
      </c>
    </row>
    <row r="261" spans="1:4">
      <c r="A261" t="s">
        <v>142</v>
      </c>
      <c r="B261" t="s">
        <v>146</v>
      </c>
      <c r="C261" t="s">
        <v>970</v>
      </c>
      <c r="D261" t="s">
        <v>142</v>
      </c>
    </row>
    <row r="262" spans="1:4">
      <c r="A262" t="s">
        <v>143</v>
      </c>
      <c r="B262" t="s">
        <v>147</v>
      </c>
      <c r="C262" t="s">
        <v>971</v>
      </c>
      <c r="D262" t="s">
        <v>143</v>
      </c>
    </row>
    <row r="263" spans="1:4">
      <c r="A263" t="s">
        <v>277</v>
      </c>
      <c r="B263" t="s">
        <v>812</v>
      </c>
      <c r="C263" t="s">
        <v>972</v>
      </c>
      <c r="D263" t="s">
        <v>277</v>
      </c>
    </row>
    <row r="264" spans="1:4">
      <c r="A264" t="s">
        <v>1922</v>
      </c>
      <c r="B264" t="s">
        <v>813</v>
      </c>
      <c r="C264" t="s">
        <v>973</v>
      </c>
      <c r="D264" t="s">
        <v>1922</v>
      </c>
    </row>
    <row r="265" spans="1:4">
      <c r="A265" t="s">
        <v>1923</v>
      </c>
      <c r="B265" t="s">
        <v>823</v>
      </c>
      <c r="C265" t="s">
        <v>974</v>
      </c>
      <c r="D265" t="s">
        <v>1923</v>
      </c>
    </row>
    <row r="266" spans="1:4">
      <c r="A266" t="s">
        <v>1932</v>
      </c>
      <c r="B266" t="s">
        <v>814</v>
      </c>
      <c r="C266" t="s">
        <v>975</v>
      </c>
      <c r="D266" t="s">
        <v>1932</v>
      </c>
    </row>
    <row r="267" spans="1:4">
      <c r="A267" t="s">
        <v>1924</v>
      </c>
      <c r="B267" t="s">
        <v>815</v>
      </c>
      <c r="C267" t="s">
        <v>976</v>
      </c>
      <c r="D267" t="s">
        <v>1924</v>
      </c>
    </row>
    <row r="268" spans="1:4">
      <c r="A268" t="s">
        <v>1925</v>
      </c>
      <c r="B268" t="s">
        <v>816</v>
      </c>
      <c r="C268" t="s">
        <v>977</v>
      </c>
      <c r="D268" t="s">
        <v>1925</v>
      </c>
    </row>
    <row r="269" spans="1:4">
      <c r="A269" t="s">
        <v>1933</v>
      </c>
      <c r="B269" t="s">
        <v>817</v>
      </c>
      <c r="C269" t="s">
        <v>978</v>
      </c>
      <c r="D269" t="s">
        <v>1933</v>
      </c>
    </row>
    <row r="270" spans="1:4">
      <c r="A270" t="s">
        <v>1926</v>
      </c>
      <c r="B270" t="s">
        <v>818</v>
      </c>
      <c r="C270" t="s">
        <v>979</v>
      </c>
      <c r="D270" t="s">
        <v>1926</v>
      </c>
    </row>
    <row r="271" spans="1:4">
      <c r="A271" t="s">
        <v>1927</v>
      </c>
      <c r="B271" t="s">
        <v>819</v>
      </c>
      <c r="C271" t="s">
        <v>980</v>
      </c>
      <c r="D271" t="s">
        <v>1927</v>
      </c>
    </row>
    <row r="272" spans="1:4">
      <c r="A272" t="s">
        <v>1934</v>
      </c>
      <c r="B272" t="s">
        <v>820</v>
      </c>
      <c r="C272" t="s">
        <v>981</v>
      </c>
      <c r="D272" t="s">
        <v>1934</v>
      </c>
    </row>
    <row r="273" spans="1:4">
      <c r="A273" t="s">
        <v>1937</v>
      </c>
      <c r="B273" t="s">
        <v>821</v>
      </c>
      <c r="C273" t="s">
        <v>982</v>
      </c>
      <c r="D273" t="s">
        <v>1937</v>
      </c>
    </row>
    <row r="274" spans="1:4">
      <c r="A274" t="s">
        <v>919</v>
      </c>
      <c r="B274" t="s">
        <v>822</v>
      </c>
      <c r="C274" t="s">
        <v>983</v>
      </c>
      <c r="D274" t="s">
        <v>919</v>
      </c>
    </row>
    <row r="275" spans="1:4">
      <c r="A275" t="s">
        <v>920</v>
      </c>
      <c r="B275" t="s">
        <v>824</v>
      </c>
      <c r="C275" t="s">
        <v>984</v>
      </c>
      <c r="D275" t="s">
        <v>920</v>
      </c>
    </row>
    <row r="276" spans="1:4">
      <c r="A276" t="s">
        <v>432</v>
      </c>
      <c r="B276" t="s">
        <v>825</v>
      </c>
      <c r="C276" t="s">
        <v>985</v>
      </c>
      <c r="D276" t="s">
        <v>432</v>
      </c>
    </row>
    <row r="277" spans="1:4">
      <c r="A277" t="s">
        <v>433</v>
      </c>
      <c r="B277" t="s">
        <v>826</v>
      </c>
      <c r="C277" t="s">
        <v>986</v>
      </c>
      <c r="D277" t="s">
        <v>433</v>
      </c>
    </row>
    <row r="278" spans="1:4">
      <c r="A278" t="s">
        <v>2051</v>
      </c>
      <c r="B278" t="s">
        <v>91</v>
      </c>
      <c r="C278" t="s">
        <v>987</v>
      </c>
      <c r="D278" t="s">
        <v>2051</v>
      </c>
    </row>
    <row r="279" spans="1:4">
      <c r="A279" t="s">
        <v>46</v>
      </c>
      <c r="B279" t="s">
        <v>827</v>
      </c>
      <c r="C279" t="s">
        <v>988</v>
      </c>
      <c r="D279" t="s">
        <v>46</v>
      </c>
    </row>
    <row r="280" spans="1:4">
      <c r="A280" t="s">
        <v>65</v>
      </c>
      <c r="B280" t="s">
        <v>828</v>
      </c>
      <c r="C280" t="s">
        <v>989</v>
      </c>
      <c r="D280" t="s">
        <v>65</v>
      </c>
    </row>
    <row r="281" spans="1:4">
      <c r="A281" t="s">
        <v>1151</v>
      </c>
      <c r="B281" t="s">
        <v>829</v>
      </c>
      <c r="C281" t="s">
        <v>990</v>
      </c>
      <c r="D281" t="s">
        <v>1151</v>
      </c>
    </row>
    <row r="282" spans="1:4">
      <c r="A282" t="s">
        <v>958</v>
      </c>
      <c r="B282" t="s">
        <v>154</v>
      </c>
      <c r="C282" t="s">
        <v>991</v>
      </c>
      <c r="D282" t="s">
        <v>958</v>
      </c>
    </row>
    <row r="283" spans="1:4">
      <c r="A283" t="s">
        <v>1992</v>
      </c>
      <c r="B283" t="s">
        <v>830</v>
      </c>
      <c r="C283" t="s">
        <v>992</v>
      </c>
      <c r="D283" t="s">
        <v>1992</v>
      </c>
    </row>
    <row r="284" spans="1:4">
      <c r="A284" t="s">
        <v>1062</v>
      </c>
      <c r="B284" t="s">
        <v>831</v>
      </c>
      <c r="C284" t="s">
        <v>993</v>
      </c>
      <c r="D284" t="s">
        <v>1062</v>
      </c>
    </row>
    <row r="285" spans="1:4">
      <c r="A285" t="s">
        <v>1993</v>
      </c>
      <c r="B285" t="s">
        <v>833</v>
      </c>
      <c r="C285" t="s">
        <v>994</v>
      </c>
      <c r="D285" t="s">
        <v>1993</v>
      </c>
    </row>
    <row r="286" spans="1:4">
      <c r="A286" t="s">
        <v>66</v>
      </c>
      <c r="B286" t="s">
        <v>834</v>
      </c>
      <c r="C286" t="s">
        <v>995</v>
      </c>
      <c r="D286" t="s">
        <v>66</v>
      </c>
    </row>
    <row r="287" spans="1:4">
      <c r="A287" t="s">
        <v>2006</v>
      </c>
      <c r="B287" t="s">
        <v>836</v>
      </c>
      <c r="C287" t="s">
        <v>996</v>
      </c>
      <c r="D287" t="s">
        <v>2006</v>
      </c>
    </row>
    <row r="288" spans="1:4">
      <c r="A288" t="s">
        <v>2018</v>
      </c>
      <c r="B288" t="s">
        <v>835</v>
      </c>
      <c r="C288" t="s">
        <v>997</v>
      </c>
      <c r="D288" t="s">
        <v>2018</v>
      </c>
    </row>
    <row r="289" spans="1:4">
      <c r="A289" t="s">
        <v>2019</v>
      </c>
      <c r="B289" t="s">
        <v>1349</v>
      </c>
      <c r="C289" t="s">
        <v>998</v>
      </c>
      <c r="D289" t="s">
        <v>2019</v>
      </c>
    </row>
    <row r="290" spans="1:4">
      <c r="A290" t="s">
        <v>2007</v>
      </c>
      <c r="B290" t="s">
        <v>1350</v>
      </c>
      <c r="C290" t="s">
        <v>999</v>
      </c>
      <c r="D290" t="s">
        <v>2007</v>
      </c>
    </row>
    <row r="291" spans="1:4">
      <c r="A291" t="s">
        <v>2016</v>
      </c>
      <c r="B291" t="s">
        <v>1351</v>
      </c>
      <c r="C291" t="s">
        <v>2233</v>
      </c>
      <c r="D291" t="s">
        <v>2016</v>
      </c>
    </row>
    <row r="292" spans="1:4">
      <c r="A292" t="s">
        <v>2017</v>
      </c>
      <c r="B292" t="s">
        <v>1352</v>
      </c>
      <c r="C292" t="s">
        <v>2234</v>
      </c>
      <c r="D292" t="s">
        <v>2017</v>
      </c>
    </row>
    <row r="293" spans="1:4">
      <c r="A293" t="s">
        <v>605</v>
      </c>
      <c r="B293" t="s">
        <v>1353</v>
      </c>
      <c r="C293" t="s">
        <v>2235</v>
      </c>
      <c r="D293" t="s">
        <v>605</v>
      </c>
    </row>
    <row r="294" spans="1:4">
      <c r="A294" t="s">
        <v>607</v>
      </c>
      <c r="B294" t="s">
        <v>1519</v>
      </c>
      <c r="C294" t="s">
        <v>2236</v>
      </c>
      <c r="D294" t="s">
        <v>607</v>
      </c>
    </row>
    <row r="295" spans="1:4">
      <c r="A295" t="s">
        <v>604</v>
      </c>
      <c r="B295" t="s">
        <v>1520</v>
      </c>
      <c r="C295" t="s">
        <v>2237</v>
      </c>
      <c r="D295" t="s">
        <v>604</v>
      </c>
    </row>
    <row r="296" spans="1:4">
      <c r="A296" t="s">
        <v>606</v>
      </c>
      <c r="B296" t="s">
        <v>1521</v>
      </c>
      <c r="C296" t="s">
        <v>2238</v>
      </c>
      <c r="D296" t="s">
        <v>606</v>
      </c>
    </row>
    <row r="297" spans="1:4">
      <c r="A297" t="s">
        <v>608</v>
      </c>
      <c r="B297" t="s">
        <v>1523</v>
      </c>
      <c r="C297" t="s">
        <v>2239</v>
      </c>
      <c r="D297" t="s">
        <v>608</v>
      </c>
    </row>
    <row r="298" spans="1:4">
      <c r="A298" t="s">
        <v>609</v>
      </c>
      <c r="B298" t="s">
        <v>1524</v>
      </c>
      <c r="C298" t="s">
        <v>2240</v>
      </c>
      <c r="D298" t="s">
        <v>609</v>
      </c>
    </row>
    <row r="299" spans="1:4">
      <c r="A299" t="s">
        <v>1000</v>
      </c>
      <c r="B299" t="s">
        <v>1525</v>
      </c>
      <c r="C299" t="s">
        <v>2241</v>
      </c>
      <c r="D299" t="s">
        <v>1000</v>
      </c>
    </row>
    <row r="300" spans="1:4">
      <c r="A300" t="s">
        <v>606</v>
      </c>
      <c r="B300" t="s">
        <v>1521</v>
      </c>
      <c r="C300" t="s">
        <v>2238</v>
      </c>
      <c r="D300" t="s">
        <v>606</v>
      </c>
    </row>
    <row r="301" spans="1:4">
      <c r="A301" t="s">
        <v>610</v>
      </c>
      <c r="B301" t="s">
        <v>1522</v>
      </c>
      <c r="C301" t="s">
        <v>2242</v>
      </c>
      <c r="D301" t="s">
        <v>610</v>
      </c>
    </row>
    <row r="302" spans="1:4">
      <c r="A302" t="s">
        <v>1001</v>
      </c>
      <c r="B302" t="s">
        <v>1526</v>
      </c>
      <c r="C302" t="s">
        <v>2243</v>
      </c>
      <c r="D302" t="s">
        <v>1001</v>
      </c>
    </row>
    <row r="303" spans="1:4">
      <c r="A303" t="s">
        <v>1002</v>
      </c>
      <c r="B303" t="s">
        <v>1527</v>
      </c>
      <c r="C303" t="s">
        <v>2244</v>
      </c>
      <c r="D303" t="s">
        <v>1002</v>
      </c>
    </row>
    <row r="304" spans="1:4">
      <c r="A304" t="s">
        <v>67</v>
      </c>
      <c r="B304" t="s">
        <v>1246</v>
      </c>
      <c r="C304" t="s">
        <v>2245</v>
      </c>
      <c r="D304" t="s">
        <v>67</v>
      </c>
    </row>
    <row r="305" spans="1:4">
      <c r="A305" t="s">
        <v>1970</v>
      </c>
      <c r="B305" t="s">
        <v>1247</v>
      </c>
      <c r="C305" t="s">
        <v>837</v>
      </c>
      <c r="D305" t="s">
        <v>1970</v>
      </c>
    </row>
    <row r="306" spans="1:4">
      <c r="A306" t="s">
        <v>24</v>
      </c>
      <c r="B306" t="s">
        <v>1243</v>
      </c>
      <c r="C306" t="s">
        <v>838</v>
      </c>
      <c r="D306" t="s">
        <v>24</v>
      </c>
    </row>
    <row r="307" spans="1:4">
      <c r="A307" t="s">
        <v>1969</v>
      </c>
      <c r="B307" t="s">
        <v>1244</v>
      </c>
      <c r="C307" t="s">
        <v>839</v>
      </c>
      <c r="D307" t="s">
        <v>1969</v>
      </c>
    </row>
    <row r="308" spans="1:4">
      <c r="A308" t="s">
        <v>2110</v>
      </c>
      <c r="B308" t="s">
        <v>1245</v>
      </c>
      <c r="C308" t="s">
        <v>840</v>
      </c>
      <c r="D308" t="s">
        <v>2110</v>
      </c>
    </row>
    <row r="309" spans="1:4">
      <c r="A309" t="s">
        <v>2117</v>
      </c>
      <c r="B309" t="s">
        <v>1248</v>
      </c>
      <c r="C309" t="s">
        <v>841</v>
      </c>
      <c r="D309" t="s">
        <v>2117</v>
      </c>
    </row>
    <row r="310" spans="1:4">
      <c r="A310" t="s">
        <v>2118</v>
      </c>
      <c r="B310" t="s">
        <v>1249</v>
      </c>
      <c r="C310" t="s">
        <v>842</v>
      </c>
      <c r="D310" t="s">
        <v>2118</v>
      </c>
    </row>
    <row r="311" spans="1:4">
      <c r="A311" t="s">
        <v>2119</v>
      </c>
      <c r="B311" t="s">
        <v>1250</v>
      </c>
      <c r="C311" t="s">
        <v>843</v>
      </c>
      <c r="D311" t="s">
        <v>2119</v>
      </c>
    </row>
    <row r="312" spans="1:4">
      <c r="A312" t="s">
        <v>466</v>
      </c>
      <c r="B312" t="s">
        <v>1251</v>
      </c>
      <c r="C312" t="s">
        <v>844</v>
      </c>
      <c r="D312" t="s">
        <v>466</v>
      </c>
    </row>
    <row r="313" spans="1:4">
      <c r="A313" t="s">
        <v>1556</v>
      </c>
      <c r="B313" t="s">
        <v>1252</v>
      </c>
      <c r="C313" t="s">
        <v>845</v>
      </c>
      <c r="D313" t="s">
        <v>1556</v>
      </c>
    </row>
    <row r="314" spans="1:4">
      <c r="A314" t="s">
        <v>148</v>
      </c>
      <c r="B314" t="s">
        <v>1425</v>
      </c>
      <c r="C314" t="s">
        <v>846</v>
      </c>
      <c r="D314" t="s">
        <v>2112</v>
      </c>
    </row>
    <row r="315" spans="1:4">
      <c r="A315" t="s">
        <v>149</v>
      </c>
      <c r="B315" t="s">
        <v>1426</v>
      </c>
      <c r="C315" t="s">
        <v>847</v>
      </c>
      <c r="D315" t="s">
        <v>2113</v>
      </c>
    </row>
    <row r="316" spans="1:4">
      <c r="A316" t="s">
        <v>573</v>
      </c>
      <c r="B316" t="s">
        <v>1146</v>
      </c>
      <c r="C316" t="s">
        <v>848</v>
      </c>
      <c r="D316" t="s">
        <v>573</v>
      </c>
    </row>
    <row r="317" spans="1:4">
      <c r="A317" t="s">
        <v>1557</v>
      </c>
      <c r="B317" t="s">
        <v>1427</v>
      </c>
      <c r="C317" t="s">
        <v>849</v>
      </c>
      <c r="D317" t="s">
        <v>1557</v>
      </c>
    </row>
    <row r="318" spans="1:4">
      <c r="A318" t="s">
        <v>2114</v>
      </c>
      <c r="B318" t="s">
        <v>1428</v>
      </c>
      <c r="C318" t="s">
        <v>850</v>
      </c>
      <c r="D318" t="s">
        <v>2114</v>
      </c>
    </row>
    <row r="319" spans="1:4">
      <c r="A319" t="s">
        <v>2115</v>
      </c>
      <c r="B319" t="s">
        <v>1429</v>
      </c>
      <c r="C319" t="s">
        <v>851</v>
      </c>
      <c r="D319" t="s">
        <v>2115</v>
      </c>
    </row>
    <row r="320" spans="1:4">
      <c r="A320" t="s">
        <v>2005</v>
      </c>
      <c r="B320" t="s">
        <v>1431</v>
      </c>
      <c r="C320" t="s">
        <v>852</v>
      </c>
      <c r="D320" t="s">
        <v>2005</v>
      </c>
    </row>
    <row r="321" spans="1:4">
      <c r="A321" t="s">
        <v>2116</v>
      </c>
      <c r="B321" t="s">
        <v>1432</v>
      </c>
      <c r="C321" t="s">
        <v>853</v>
      </c>
      <c r="D321" t="s">
        <v>2116</v>
      </c>
    </row>
    <row r="322" spans="1:4">
      <c r="A322" t="s">
        <v>2120</v>
      </c>
      <c r="B322" t="s">
        <v>1433</v>
      </c>
      <c r="C322" t="s">
        <v>854</v>
      </c>
      <c r="D322" t="s">
        <v>2120</v>
      </c>
    </row>
    <row r="323" spans="1:4">
      <c r="A323" t="s">
        <v>2122</v>
      </c>
      <c r="B323" t="s">
        <v>1434</v>
      </c>
      <c r="C323" t="s">
        <v>855</v>
      </c>
      <c r="D323" t="s">
        <v>2122</v>
      </c>
    </row>
    <row r="324" spans="1:4">
      <c r="A324" t="s">
        <v>2123</v>
      </c>
      <c r="B324" t="s">
        <v>1435</v>
      </c>
      <c r="C324" t="s">
        <v>856</v>
      </c>
      <c r="D324" t="s">
        <v>2123</v>
      </c>
    </row>
    <row r="325" spans="1:4">
      <c r="A325" t="s">
        <v>2121</v>
      </c>
      <c r="B325" t="s">
        <v>1436</v>
      </c>
      <c r="C325" t="s">
        <v>857</v>
      </c>
      <c r="D325" t="s">
        <v>2121</v>
      </c>
    </row>
    <row r="326" spans="1:4">
      <c r="A326" t="s">
        <v>2124</v>
      </c>
      <c r="B326" t="s">
        <v>1437</v>
      </c>
      <c r="C326" t="s">
        <v>858</v>
      </c>
      <c r="D326" t="s">
        <v>2124</v>
      </c>
    </row>
    <row r="327" spans="1:4">
      <c r="A327" t="s">
        <v>1963</v>
      </c>
      <c r="B327" t="s">
        <v>1438</v>
      </c>
      <c r="C327" t="s">
        <v>859</v>
      </c>
      <c r="D327" t="s">
        <v>1963</v>
      </c>
    </row>
    <row r="328" spans="1:4">
      <c r="A328" t="s">
        <v>1971</v>
      </c>
      <c r="B328" t="s">
        <v>1439</v>
      </c>
      <c r="C328" t="s">
        <v>858</v>
      </c>
      <c r="D328" t="s">
        <v>1971</v>
      </c>
    </row>
    <row r="329" spans="1:4">
      <c r="A329" t="s">
        <v>235</v>
      </c>
      <c r="B329" t="s">
        <v>1440</v>
      </c>
      <c r="C329" t="s">
        <v>860</v>
      </c>
      <c r="D329" t="s">
        <v>235</v>
      </c>
    </row>
    <row r="330" spans="1:4">
      <c r="A330" t="s">
        <v>237</v>
      </c>
      <c r="B330" t="s">
        <v>80</v>
      </c>
      <c r="C330" t="s">
        <v>861</v>
      </c>
      <c r="D330" t="s">
        <v>237</v>
      </c>
    </row>
    <row r="331" spans="1:4">
      <c r="A331" t="s">
        <v>238</v>
      </c>
      <c r="B331" t="s">
        <v>81</v>
      </c>
      <c r="C331" t="s">
        <v>520</v>
      </c>
      <c r="D331" t="s">
        <v>238</v>
      </c>
    </row>
    <row r="332" spans="1:4">
      <c r="A332" t="s">
        <v>236</v>
      </c>
      <c r="B332" t="s">
        <v>82</v>
      </c>
      <c r="C332" t="s">
        <v>521</v>
      </c>
      <c r="D332" t="s">
        <v>236</v>
      </c>
    </row>
    <row r="333" spans="1:4">
      <c r="A333" t="s">
        <v>237</v>
      </c>
      <c r="B333" t="s">
        <v>80</v>
      </c>
      <c r="C333" t="s">
        <v>522</v>
      </c>
      <c r="D333" t="s">
        <v>237</v>
      </c>
    </row>
    <row r="334" spans="1:4">
      <c r="A334" t="s">
        <v>238</v>
      </c>
      <c r="B334" t="s">
        <v>81</v>
      </c>
      <c r="C334" t="s">
        <v>520</v>
      </c>
      <c r="D334" t="s">
        <v>238</v>
      </c>
    </row>
    <row r="335" spans="1:4">
      <c r="A335" t="s">
        <v>1972</v>
      </c>
      <c r="B335" t="s">
        <v>83</v>
      </c>
      <c r="C335" t="s">
        <v>523</v>
      </c>
      <c r="D335" t="s">
        <v>1972</v>
      </c>
    </row>
    <row r="336" spans="1:4">
      <c r="A336" t="s">
        <v>84</v>
      </c>
      <c r="B336" t="s">
        <v>85</v>
      </c>
      <c r="C336" t="s">
        <v>524</v>
      </c>
      <c r="D336" t="s">
        <v>1064</v>
      </c>
    </row>
    <row r="337" spans="1:4">
      <c r="A337" t="s">
        <v>22</v>
      </c>
      <c r="B337" t="s">
        <v>303</v>
      </c>
      <c r="C337" t="s">
        <v>525</v>
      </c>
      <c r="D337" t="s">
        <v>22</v>
      </c>
    </row>
    <row r="338" spans="1:4">
      <c r="A338" t="s">
        <v>2118</v>
      </c>
      <c r="B338" t="s">
        <v>1249</v>
      </c>
      <c r="C338" t="s">
        <v>526</v>
      </c>
      <c r="D338" t="s">
        <v>2118</v>
      </c>
    </row>
    <row r="339" spans="1:4">
      <c r="A339" t="s">
        <v>1975</v>
      </c>
      <c r="B339" t="s">
        <v>304</v>
      </c>
      <c r="C339" t="s">
        <v>527</v>
      </c>
      <c r="D339" t="s">
        <v>1975</v>
      </c>
    </row>
    <row r="340" spans="1:4">
      <c r="A340" t="s">
        <v>1973</v>
      </c>
      <c r="B340" t="s">
        <v>305</v>
      </c>
      <c r="C340" t="s">
        <v>528</v>
      </c>
      <c r="D340" t="s">
        <v>1973</v>
      </c>
    </row>
    <row r="341" spans="1:4">
      <c r="A341" t="s">
        <v>2117</v>
      </c>
      <c r="B341" t="s">
        <v>1248</v>
      </c>
      <c r="C341" t="s">
        <v>529</v>
      </c>
      <c r="D341" t="s">
        <v>2117</v>
      </c>
    </row>
    <row r="342" spans="1:4">
      <c r="A342" t="s">
        <v>2118</v>
      </c>
      <c r="B342" t="s">
        <v>1249</v>
      </c>
      <c r="C342" t="s">
        <v>526</v>
      </c>
      <c r="D342" t="s">
        <v>2118</v>
      </c>
    </row>
    <row r="343" spans="1:4">
      <c r="A343" t="s">
        <v>1976</v>
      </c>
      <c r="B343" t="s">
        <v>306</v>
      </c>
      <c r="C343" t="s">
        <v>530</v>
      </c>
      <c r="D343" t="s">
        <v>1976</v>
      </c>
    </row>
    <row r="344" spans="1:4">
      <c r="A344" t="s">
        <v>2117</v>
      </c>
      <c r="B344" t="s">
        <v>1248</v>
      </c>
      <c r="C344" t="s">
        <v>531</v>
      </c>
      <c r="D344" t="s">
        <v>2117</v>
      </c>
    </row>
    <row r="345" spans="1:4">
      <c r="A345" t="s">
        <v>2118</v>
      </c>
      <c r="B345" t="s">
        <v>1249</v>
      </c>
      <c r="C345" t="s">
        <v>842</v>
      </c>
      <c r="D345" t="s">
        <v>2118</v>
      </c>
    </row>
    <row r="346" spans="1:4">
      <c r="A346" t="s">
        <v>1966</v>
      </c>
      <c r="B346" t="s">
        <v>307</v>
      </c>
      <c r="C346" t="s">
        <v>532</v>
      </c>
      <c r="D346" t="s">
        <v>1966</v>
      </c>
    </row>
    <row r="347" spans="1:4">
      <c r="A347" t="s">
        <v>26</v>
      </c>
      <c r="B347" t="s">
        <v>308</v>
      </c>
      <c r="C347" t="s">
        <v>533</v>
      </c>
      <c r="D347" t="s">
        <v>26</v>
      </c>
    </row>
    <row r="348" spans="1:4">
      <c r="A348" t="s">
        <v>1930</v>
      </c>
      <c r="B348" t="s">
        <v>1931</v>
      </c>
      <c r="C348" t="s">
        <v>534</v>
      </c>
      <c r="D348" t="s">
        <v>1930</v>
      </c>
    </row>
    <row r="349" spans="1:4">
      <c r="A349" t="s">
        <v>25</v>
      </c>
      <c r="B349" t="s">
        <v>309</v>
      </c>
      <c r="C349" t="s">
        <v>535</v>
      </c>
      <c r="D349" t="s">
        <v>25</v>
      </c>
    </row>
    <row r="350" spans="1:4">
      <c r="A350" t="s">
        <v>2117</v>
      </c>
      <c r="B350" t="s">
        <v>1248</v>
      </c>
      <c r="C350" t="s">
        <v>536</v>
      </c>
      <c r="D350" t="s">
        <v>2117</v>
      </c>
    </row>
    <row r="351" spans="1:4">
      <c r="A351" t="s">
        <v>2118</v>
      </c>
      <c r="B351" t="s">
        <v>1249</v>
      </c>
      <c r="C351" t="s">
        <v>526</v>
      </c>
      <c r="D351" t="s">
        <v>2118</v>
      </c>
    </row>
    <row r="352" spans="1:4">
      <c r="A352" t="s">
        <v>28</v>
      </c>
      <c r="B352" t="s">
        <v>310</v>
      </c>
      <c r="C352" t="s">
        <v>537</v>
      </c>
      <c r="D352" t="s">
        <v>28</v>
      </c>
    </row>
    <row r="353" spans="1:4">
      <c r="A353" t="s">
        <v>1976</v>
      </c>
      <c r="B353" t="s">
        <v>306</v>
      </c>
      <c r="C353" t="s">
        <v>538</v>
      </c>
      <c r="D353" t="s">
        <v>1976</v>
      </c>
    </row>
    <row r="354" spans="1:4">
      <c r="A354" t="s">
        <v>2117</v>
      </c>
      <c r="B354" t="s">
        <v>1248</v>
      </c>
      <c r="C354" t="s">
        <v>539</v>
      </c>
      <c r="D354" t="s">
        <v>2117</v>
      </c>
    </row>
    <row r="355" spans="1:4">
      <c r="A355" t="s">
        <v>2118</v>
      </c>
      <c r="B355" t="s">
        <v>1249</v>
      </c>
      <c r="C355" t="s">
        <v>842</v>
      </c>
      <c r="D355" t="s">
        <v>2118</v>
      </c>
    </row>
    <row r="356" spans="1:4">
      <c r="A356" t="s">
        <v>1967</v>
      </c>
      <c r="B356" t="s">
        <v>311</v>
      </c>
      <c r="C356" t="s">
        <v>540</v>
      </c>
      <c r="D356" t="s">
        <v>1967</v>
      </c>
    </row>
    <row r="357" spans="1:4">
      <c r="A357" t="s">
        <v>2117</v>
      </c>
      <c r="B357" t="s">
        <v>1248</v>
      </c>
      <c r="C357" t="s">
        <v>541</v>
      </c>
      <c r="D357" t="s">
        <v>2117</v>
      </c>
    </row>
    <row r="358" spans="1:4">
      <c r="A358" t="s">
        <v>2118</v>
      </c>
      <c r="B358" t="s">
        <v>1249</v>
      </c>
      <c r="C358" t="s">
        <v>842</v>
      </c>
      <c r="D358" t="s">
        <v>2118</v>
      </c>
    </row>
    <row r="359" spans="1:4">
      <c r="A359" t="s">
        <v>933</v>
      </c>
      <c r="B359" t="s">
        <v>312</v>
      </c>
      <c r="C359" t="s">
        <v>542</v>
      </c>
      <c r="D359" t="s">
        <v>933</v>
      </c>
    </row>
    <row r="360" spans="1:4">
      <c r="A360" t="s">
        <v>934</v>
      </c>
      <c r="B360" t="s">
        <v>1301</v>
      </c>
      <c r="C360" t="s">
        <v>543</v>
      </c>
      <c r="D360" t="s">
        <v>934</v>
      </c>
    </row>
    <row r="361" spans="1:4">
      <c r="A361" t="s">
        <v>935</v>
      </c>
      <c r="B361" t="s">
        <v>1521</v>
      </c>
      <c r="C361" t="s">
        <v>544</v>
      </c>
      <c r="D361" t="s">
        <v>935</v>
      </c>
    </row>
    <row r="362" spans="1:4">
      <c r="A362" t="s">
        <v>936</v>
      </c>
      <c r="B362" t="s">
        <v>1302</v>
      </c>
      <c r="C362" t="s">
        <v>1011</v>
      </c>
      <c r="D362" t="s">
        <v>936</v>
      </c>
    </row>
    <row r="363" spans="1:4">
      <c r="A363" t="s">
        <v>1377</v>
      </c>
      <c r="B363" t="s">
        <v>1381</v>
      </c>
      <c r="C363" t="s">
        <v>1012</v>
      </c>
      <c r="D363" t="s">
        <v>434</v>
      </c>
    </row>
    <row r="364" spans="1:4">
      <c r="A364" t="s">
        <v>1378</v>
      </c>
      <c r="B364" t="s">
        <v>1382</v>
      </c>
      <c r="C364" t="s">
        <v>1013</v>
      </c>
      <c r="D364" t="s">
        <v>1378</v>
      </c>
    </row>
    <row r="365" spans="1:4">
      <c r="A365" t="s">
        <v>1379</v>
      </c>
      <c r="B365" t="s">
        <v>1383</v>
      </c>
      <c r="C365" t="s">
        <v>1014</v>
      </c>
      <c r="D365" t="s">
        <v>1379</v>
      </c>
    </row>
    <row r="366" spans="1:4">
      <c r="A366" t="s">
        <v>1380</v>
      </c>
      <c r="B366" t="s">
        <v>1384</v>
      </c>
      <c r="C366" t="s">
        <v>1015</v>
      </c>
      <c r="D366" t="s">
        <v>1380</v>
      </c>
    </row>
    <row r="367" spans="1:4">
      <c r="A367" t="s">
        <v>1968</v>
      </c>
      <c r="B367" t="s">
        <v>1303</v>
      </c>
      <c r="C367" t="s">
        <v>1016</v>
      </c>
      <c r="D367" t="s">
        <v>1968</v>
      </c>
    </row>
    <row r="368" spans="1:4">
      <c r="A368" t="s">
        <v>2111</v>
      </c>
      <c r="B368" t="s">
        <v>1304</v>
      </c>
      <c r="C368" t="s">
        <v>2343</v>
      </c>
      <c r="D368" t="s">
        <v>2111</v>
      </c>
    </row>
    <row r="369" spans="1:4">
      <c r="A369" t="s">
        <v>1065</v>
      </c>
      <c r="B369" t="s">
        <v>1305</v>
      </c>
      <c r="C369" t="s">
        <v>1017</v>
      </c>
      <c r="D369" t="s">
        <v>1065</v>
      </c>
    </row>
    <row r="370" spans="1:4">
      <c r="A370" t="s">
        <v>1066</v>
      </c>
      <c r="B370" t="s">
        <v>1306</v>
      </c>
      <c r="C370" t="s">
        <v>1018</v>
      </c>
      <c r="D370" t="s">
        <v>1066</v>
      </c>
    </row>
    <row r="371" spans="1:4">
      <c r="A371" t="s">
        <v>1067</v>
      </c>
      <c r="B371" t="s">
        <v>1307</v>
      </c>
      <c r="C371" t="s">
        <v>503</v>
      </c>
      <c r="D371" t="s">
        <v>1067</v>
      </c>
    </row>
    <row r="372" spans="1:4">
      <c r="A372" t="s">
        <v>1068</v>
      </c>
      <c r="B372" t="s">
        <v>1308</v>
      </c>
      <c r="C372" t="s">
        <v>504</v>
      </c>
      <c r="D372" t="s">
        <v>1068</v>
      </c>
    </row>
    <row r="373" spans="1:4">
      <c r="A373" t="s">
        <v>1069</v>
      </c>
      <c r="B373" t="s">
        <v>1309</v>
      </c>
      <c r="C373" t="s">
        <v>505</v>
      </c>
      <c r="D373" t="s">
        <v>1069</v>
      </c>
    </row>
    <row r="374" spans="1:4">
      <c r="A374" t="s">
        <v>27</v>
      </c>
      <c r="B374" t="s">
        <v>1310</v>
      </c>
      <c r="C374" t="s">
        <v>506</v>
      </c>
      <c r="D374" t="s">
        <v>27</v>
      </c>
    </row>
    <row r="375" spans="1:4">
      <c r="A375" t="s">
        <v>68</v>
      </c>
      <c r="B375" t="s">
        <v>1311</v>
      </c>
      <c r="C375" t="s">
        <v>507</v>
      </c>
      <c r="D375" t="s">
        <v>68</v>
      </c>
    </row>
    <row r="376" spans="1:4">
      <c r="A376" t="s">
        <v>2125</v>
      </c>
      <c r="B376" t="s">
        <v>294</v>
      </c>
      <c r="C376" t="s">
        <v>508</v>
      </c>
      <c r="D376" t="s">
        <v>2125</v>
      </c>
    </row>
    <row r="377" spans="1:4">
      <c r="A377" t="s">
        <v>1583</v>
      </c>
      <c r="B377" t="s">
        <v>295</v>
      </c>
      <c r="C377" t="s">
        <v>509</v>
      </c>
      <c r="D377" t="s">
        <v>1583</v>
      </c>
    </row>
    <row r="378" spans="1:4">
      <c r="A378" t="s">
        <v>870</v>
      </c>
      <c r="B378" t="s">
        <v>875</v>
      </c>
      <c r="C378" t="s">
        <v>510</v>
      </c>
      <c r="D378" t="s">
        <v>870</v>
      </c>
    </row>
    <row r="379" spans="1:4">
      <c r="A379" t="s">
        <v>871</v>
      </c>
      <c r="B379" t="s">
        <v>876</v>
      </c>
      <c r="C379" t="s">
        <v>511</v>
      </c>
      <c r="D379" t="s">
        <v>871</v>
      </c>
    </row>
    <row r="380" spans="1:4">
      <c r="A380" t="s">
        <v>872</v>
      </c>
      <c r="B380" t="s">
        <v>877</v>
      </c>
      <c r="C380" t="s">
        <v>512</v>
      </c>
      <c r="D380" t="s">
        <v>872</v>
      </c>
    </row>
    <row r="381" spans="1:4">
      <c r="A381" t="s">
        <v>873</v>
      </c>
      <c r="B381" t="s">
        <v>878</v>
      </c>
      <c r="C381" t="s">
        <v>513</v>
      </c>
      <c r="D381" t="s">
        <v>873</v>
      </c>
    </row>
    <row r="382" spans="1:4">
      <c r="A382" t="s">
        <v>874</v>
      </c>
      <c r="B382" t="s">
        <v>879</v>
      </c>
      <c r="C382" t="s">
        <v>514</v>
      </c>
      <c r="D382" t="s">
        <v>874</v>
      </c>
    </row>
    <row r="383" spans="1:4">
      <c r="A383" t="s">
        <v>1845</v>
      </c>
      <c r="B383" t="s">
        <v>880</v>
      </c>
      <c r="C383" t="s">
        <v>515</v>
      </c>
      <c r="D383" t="s">
        <v>1845</v>
      </c>
    </row>
    <row r="384" spans="1:4">
      <c r="A384" t="s">
        <v>954</v>
      </c>
      <c r="B384" t="s">
        <v>301</v>
      </c>
      <c r="C384" t="s">
        <v>516</v>
      </c>
      <c r="D384" t="s">
        <v>954</v>
      </c>
    </row>
    <row r="385" spans="1:4">
      <c r="A385" t="s">
        <v>1582</v>
      </c>
      <c r="B385" t="s">
        <v>302</v>
      </c>
      <c r="C385" t="s">
        <v>517</v>
      </c>
      <c r="D385" t="s">
        <v>1582</v>
      </c>
    </row>
    <row r="386" spans="1:4">
      <c r="A386" t="s">
        <v>1213</v>
      </c>
      <c r="B386" t="s">
        <v>341</v>
      </c>
      <c r="C386" t="s">
        <v>518</v>
      </c>
      <c r="D386" t="s">
        <v>1213</v>
      </c>
    </row>
    <row r="387" spans="1:4">
      <c r="A387" t="s">
        <v>955</v>
      </c>
      <c r="B387" t="s">
        <v>342</v>
      </c>
      <c r="C387" t="s">
        <v>519</v>
      </c>
      <c r="D387" t="s">
        <v>955</v>
      </c>
    </row>
    <row r="388" spans="1:4">
      <c r="A388" t="s">
        <v>2131</v>
      </c>
      <c r="B388" t="s">
        <v>343</v>
      </c>
      <c r="C388" t="s">
        <v>656</v>
      </c>
      <c r="D388" t="s">
        <v>2131</v>
      </c>
    </row>
    <row r="389" spans="1:4">
      <c r="A389" t="s">
        <v>2130</v>
      </c>
      <c r="B389" t="s">
        <v>1312</v>
      </c>
      <c r="C389" t="s">
        <v>657</v>
      </c>
      <c r="D389" t="s">
        <v>2130</v>
      </c>
    </row>
    <row r="390" spans="1:4">
      <c r="A390" t="s">
        <v>2129</v>
      </c>
      <c r="B390" t="s">
        <v>344</v>
      </c>
      <c r="C390" t="s">
        <v>658</v>
      </c>
      <c r="D390" t="s">
        <v>2129</v>
      </c>
    </row>
    <row r="391" spans="1:4">
      <c r="A391" t="s">
        <v>1584</v>
      </c>
      <c r="B391" t="s">
        <v>345</v>
      </c>
      <c r="C391" t="s">
        <v>659</v>
      </c>
      <c r="D391" t="s">
        <v>1584</v>
      </c>
    </row>
    <row r="392" spans="1:4">
      <c r="A392" t="s">
        <v>1585</v>
      </c>
      <c r="B392" t="s">
        <v>346</v>
      </c>
      <c r="C392" t="s">
        <v>660</v>
      </c>
      <c r="D392" t="s">
        <v>1585</v>
      </c>
    </row>
    <row r="393" spans="1:4">
      <c r="A393" t="s">
        <v>956</v>
      </c>
      <c r="B393" t="s">
        <v>347</v>
      </c>
      <c r="C393" t="s">
        <v>661</v>
      </c>
      <c r="D393" t="s">
        <v>956</v>
      </c>
    </row>
    <row r="394" spans="1:4">
      <c r="A394" t="s">
        <v>1586</v>
      </c>
      <c r="B394" t="s">
        <v>348</v>
      </c>
      <c r="C394" t="s">
        <v>662</v>
      </c>
      <c r="D394" t="s">
        <v>1586</v>
      </c>
    </row>
    <row r="395" spans="1:4">
      <c r="A395" t="s">
        <v>957</v>
      </c>
      <c r="B395" t="s">
        <v>349</v>
      </c>
      <c r="C395" t="s">
        <v>663</v>
      </c>
      <c r="D395" t="s">
        <v>957</v>
      </c>
    </row>
    <row r="396" spans="1:4">
      <c r="A396" t="s">
        <v>29</v>
      </c>
      <c r="B396" t="s">
        <v>350</v>
      </c>
      <c r="C396" t="s">
        <v>664</v>
      </c>
      <c r="D396" t="s">
        <v>29</v>
      </c>
    </row>
    <row r="397" spans="1:4">
      <c r="A397" t="s">
        <v>30</v>
      </c>
      <c r="B397" t="s">
        <v>351</v>
      </c>
      <c r="C397" t="s">
        <v>665</v>
      </c>
      <c r="D397" t="s">
        <v>30</v>
      </c>
    </row>
    <row r="398" spans="1:4">
      <c r="A398" t="s">
        <v>31</v>
      </c>
      <c r="B398" t="s">
        <v>352</v>
      </c>
      <c r="C398" t="s">
        <v>666</v>
      </c>
      <c r="D398" t="s">
        <v>31</v>
      </c>
    </row>
    <row r="399" spans="1:4">
      <c r="A399" t="s">
        <v>645</v>
      </c>
      <c r="B399" t="s">
        <v>353</v>
      </c>
      <c r="C399" t="s">
        <v>667</v>
      </c>
      <c r="D399" t="s">
        <v>645</v>
      </c>
    </row>
    <row r="400" spans="1:4">
      <c r="A400" t="s">
        <v>646</v>
      </c>
      <c r="B400" t="s">
        <v>354</v>
      </c>
      <c r="C400" t="s">
        <v>668</v>
      </c>
      <c r="D400" t="s">
        <v>646</v>
      </c>
    </row>
    <row r="401" spans="1:4">
      <c r="A401" t="s">
        <v>1587</v>
      </c>
      <c r="B401" t="s">
        <v>1313</v>
      </c>
      <c r="C401" t="s">
        <v>669</v>
      </c>
      <c r="D401" t="s">
        <v>1587</v>
      </c>
    </row>
    <row r="402" spans="1:4">
      <c r="A402" t="s">
        <v>923</v>
      </c>
      <c r="B402" t="s">
        <v>1314</v>
      </c>
      <c r="C402" t="s">
        <v>545</v>
      </c>
      <c r="D402" t="s">
        <v>923</v>
      </c>
    </row>
    <row r="403" spans="1:4">
      <c r="A403" t="s">
        <v>929</v>
      </c>
      <c r="B403" t="s">
        <v>1319</v>
      </c>
      <c r="C403" t="s">
        <v>546</v>
      </c>
      <c r="D403" t="s">
        <v>929</v>
      </c>
    </row>
    <row r="404" spans="1:4">
      <c r="A404" t="s">
        <v>572</v>
      </c>
      <c r="B404" t="s">
        <v>1320</v>
      </c>
      <c r="C404" t="s">
        <v>547</v>
      </c>
      <c r="D404" t="s">
        <v>572</v>
      </c>
    </row>
    <row r="405" spans="1:4">
      <c r="A405" t="s">
        <v>925</v>
      </c>
      <c r="B405" t="s">
        <v>1321</v>
      </c>
      <c r="C405" t="s">
        <v>548</v>
      </c>
      <c r="D405" t="s">
        <v>925</v>
      </c>
    </row>
    <row r="406" spans="1:4">
      <c r="A406" t="s">
        <v>924</v>
      </c>
      <c r="B406" t="s">
        <v>1089</v>
      </c>
      <c r="C406" t="s">
        <v>549</v>
      </c>
      <c r="D406" t="s">
        <v>924</v>
      </c>
    </row>
    <row r="407" spans="1:4">
      <c r="A407" t="s">
        <v>926</v>
      </c>
      <c r="B407" t="s">
        <v>1322</v>
      </c>
      <c r="C407" t="s">
        <v>550</v>
      </c>
      <c r="D407" t="s">
        <v>926</v>
      </c>
    </row>
    <row r="408" spans="1:4">
      <c r="A408" t="s">
        <v>927</v>
      </c>
      <c r="B408" t="s">
        <v>1324</v>
      </c>
      <c r="C408" t="s">
        <v>551</v>
      </c>
      <c r="D408" t="s">
        <v>927</v>
      </c>
    </row>
    <row r="409" spans="1:4">
      <c r="A409" t="s">
        <v>928</v>
      </c>
      <c r="B409" t="s">
        <v>1323</v>
      </c>
      <c r="C409" t="s">
        <v>552</v>
      </c>
      <c r="D409" t="s">
        <v>928</v>
      </c>
    </row>
    <row r="410" spans="1:4">
      <c r="A410" t="s">
        <v>571</v>
      </c>
      <c r="B410" t="s">
        <v>1320</v>
      </c>
      <c r="C410" t="s">
        <v>553</v>
      </c>
      <c r="D410" t="s">
        <v>571</v>
      </c>
    </row>
    <row r="411" spans="1:4">
      <c r="A411" t="s">
        <v>925</v>
      </c>
      <c r="B411" t="s">
        <v>1321</v>
      </c>
      <c r="C411" t="s">
        <v>678</v>
      </c>
      <c r="D411" t="s">
        <v>925</v>
      </c>
    </row>
    <row r="412" spans="1:4">
      <c r="A412" t="s">
        <v>924</v>
      </c>
      <c r="B412" t="s">
        <v>1089</v>
      </c>
      <c r="C412" t="s">
        <v>549</v>
      </c>
      <c r="D412" t="s">
        <v>924</v>
      </c>
    </row>
    <row r="413" spans="1:4">
      <c r="A413" s="2" t="s">
        <v>563</v>
      </c>
      <c r="B413" t="s">
        <v>567</v>
      </c>
      <c r="C413" t="s">
        <v>679</v>
      </c>
      <c r="D413" s="2" t="s">
        <v>563</v>
      </c>
    </row>
    <row r="414" spans="1:4">
      <c r="A414" s="2" t="s">
        <v>561</v>
      </c>
      <c r="B414" t="s">
        <v>568</v>
      </c>
      <c r="C414" t="s">
        <v>680</v>
      </c>
      <c r="D414" s="2" t="s">
        <v>561</v>
      </c>
    </row>
    <row r="415" spans="1:4">
      <c r="A415" s="2" t="s">
        <v>562</v>
      </c>
      <c r="B415" t="s">
        <v>569</v>
      </c>
      <c r="C415" t="s">
        <v>681</v>
      </c>
      <c r="D415" s="2" t="s">
        <v>562</v>
      </c>
    </row>
    <row r="416" spans="1:4">
      <c r="A416" s="2" t="s">
        <v>564</v>
      </c>
      <c r="B416" t="s">
        <v>570</v>
      </c>
      <c r="C416" t="s">
        <v>682</v>
      </c>
      <c r="D416" s="2" t="s">
        <v>564</v>
      </c>
    </row>
    <row r="417" spans="1:4">
      <c r="A417" t="s">
        <v>565</v>
      </c>
      <c r="B417" t="s">
        <v>566</v>
      </c>
      <c r="C417" t="s">
        <v>683</v>
      </c>
      <c r="D417" t="s">
        <v>565</v>
      </c>
    </row>
    <row r="418" spans="1:4">
      <c r="A418" t="s">
        <v>930</v>
      </c>
      <c r="B418" t="s">
        <v>1325</v>
      </c>
      <c r="C418" t="s">
        <v>684</v>
      </c>
      <c r="D418" t="s">
        <v>930</v>
      </c>
    </row>
    <row r="419" spans="1:4">
      <c r="A419" t="s">
        <v>931</v>
      </c>
      <c r="B419" t="s">
        <v>131</v>
      </c>
      <c r="C419" t="s">
        <v>685</v>
      </c>
      <c r="D419" t="s">
        <v>931</v>
      </c>
    </row>
    <row r="420" spans="1:4">
      <c r="A420" t="s">
        <v>932</v>
      </c>
      <c r="B420" t="s">
        <v>132</v>
      </c>
      <c r="C420" t="s">
        <v>686</v>
      </c>
      <c r="D420" t="s">
        <v>932</v>
      </c>
    </row>
    <row r="421" spans="1:4">
      <c r="A421" t="s">
        <v>792</v>
      </c>
      <c r="B421" t="s">
        <v>133</v>
      </c>
      <c r="C421" t="s">
        <v>687</v>
      </c>
      <c r="D421" t="s">
        <v>792</v>
      </c>
    </row>
    <row r="422" spans="1:4">
      <c r="A422" t="s">
        <v>69</v>
      </c>
      <c r="B422" t="s">
        <v>134</v>
      </c>
      <c r="C422" t="s">
        <v>688</v>
      </c>
      <c r="D422" t="s">
        <v>69</v>
      </c>
    </row>
    <row r="423" spans="1:4">
      <c r="A423" t="s">
        <v>1554</v>
      </c>
      <c r="B423" t="s">
        <v>768</v>
      </c>
      <c r="C423" t="s">
        <v>689</v>
      </c>
      <c r="D423" t="s">
        <v>1554</v>
      </c>
    </row>
    <row r="424" spans="1:4">
      <c r="A424" t="s">
        <v>1555</v>
      </c>
      <c r="B424" t="s">
        <v>769</v>
      </c>
      <c r="C424" t="s">
        <v>690</v>
      </c>
      <c r="D424" t="s">
        <v>1555</v>
      </c>
    </row>
    <row r="425" spans="1:4">
      <c r="A425" t="s">
        <v>758</v>
      </c>
      <c r="B425" t="s">
        <v>759</v>
      </c>
      <c r="C425" t="s">
        <v>691</v>
      </c>
      <c r="D425" t="s">
        <v>758</v>
      </c>
    </row>
    <row r="426" spans="1:4">
      <c r="A426" t="s">
        <v>1730</v>
      </c>
      <c r="B426" t="s">
        <v>1734</v>
      </c>
      <c r="C426" t="s">
        <v>692</v>
      </c>
      <c r="D426" t="s">
        <v>1730</v>
      </c>
    </row>
    <row r="427" spans="1:4">
      <c r="A427" t="s">
        <v>1588</v>
      </c>
      <c r="B427" t="s">
        <v>135</v>
      </c>
      <c r="C427" t="s">
        <v>693</v>
      </c>
      <c r="D427" t="s">
        <v>1588</v>
      </c>
    </row>
    <row r="428" spans="1:4">
      <c r="A428" t="s">
        <v>1595</v>
      </c>
      <c r="B428" t="s">
        <v>770</v>
      </c>
      <c r="C428" t="s">
        <v>694</v>
      </c>
      <c r="D428" t="s">
        <v>1595</v>
      </c>
    </row>
    <row r="429" spans="1:4">
      <c r="A429" t="s">
        <v>1947</v>
      </c>
      <c r="B429" t="s">
        <v>771</v>
      </c>
      <c r="C429" t="s">
        <v>695</v>
      </c>
      <c r="D429" t="s">
        <v>1947</v>
      </c>
    </row>
    <row r="430" spans="1:4">
      <c r="A430" t="s">
        <v>1602</v>
      </c>
      <c r="B430" t="s">
        <v>1262</v>
      </c>
      <c r="C430" t="s">
        <v>696</v>
      </c>
      <c r="D430" t="s">
        <v>1602</v>
      </c>
    </row>
    <row r="431" spans="1:4">
      <c r="A431" t="s">
        <v>1589</v>
      </c>
      <c r="B431" t="s">
        <v>1263</v>
      </c>
      <c r="C431" t="s">
        <v>697</v>
      </c>
      <c r="D431" t="s">
        <v>1589</v>
      </c>
    </row>
    <row r="432" spans="1:4">
      <c r="A432" t="s">
        <v>790</v>
      </c>
      <c r="B432" t="s">
        <v>1264</v>
      </c>
      <c r="C432" t="s">
        <v>698</v>
      </c>
      <c r="D432" t="s">
        <v>790</v>
      </c>
    </row>
    <row r="433" spans="1:4">
      <c r="A433" t="s">
        <v>791</v>
      </c>
      <c r="B433" t="s">
        <v>1655</v>
      </c>
      <c r="C433" t="s">
        <v>699</v>
      </c>
      <c r="D433" t="s">
        <v>791</v>
      </c>
    </row>
    <row r="434" spans="1:4">
      <c r="A434" t="s">
        <v>1590</v>
      </c>
      <c r="B434" t="s">
        <v>282</v>
      </c>
      <c r="C434" t="s">
        <v>479</v>
      </c>
      <c r="D434" t="s">
        <v>1590</v>
      </c>
    </row>
    <row r="435" spans="1:4">
      <c r="A435" t="s">
        <v>1591</v>
      </c>
      <c r="B435" t="s">
        <v>283</v>
      </c>
      <c r="C435" t="s">
        <v>480</v>
      </c>
      <c r="D435" t="s">
        <v>1591</v>
      </c>
    </row>
    <row r="436" spans="1:4">
      <c r="A436" t="s">
        <v>1596</v>
      </c>
      <c r="B436" t="s">
        <v>284</v>
      </c>
      <c r="C436" t="s">
        <v>481</v>
      </c>
      <c r="D436" t="s">
        <v>1596</v>
      </c>
    </row>
    <row r="437" spans="1:4">
      <c r="A437" t="s">
        <v>1597</v>
      </c>
      <c r="B437" t="s">
        <v>285</v>
      </c>
      <c r="C437" t="s">
        <v>482</v>
      </c>
      <c r="D437" t="s">
        <v>1597</v>
      </c>
    </row>
    <row r="438" spans="1:4">
      <c r="A438" t="s">
        <v>1592</v>
      </c>
      <c r="B438" t="s">
        <v>286</v>
      </c>
      <c r="C438" t="s">
        <v>483</v>
      </c>
      <c r="D438" t="s">
        <v>1592</v>
      </c>
    </row>
    <row r="439" spans="1:4">
      <c r="A439" t="s">
        <v>1149</v>
      </c>
      <c r="B439" t="s">
        <v>1150</v>
      </c>
      <c r="C439" t="s">
        <v>484</v>
      </c>
      <c r="D439" t="s">
        <v>1149</v>
      </c>
    </row>
    <row r="440" spans="1:4">
      <c r="A440" t="s">
        <v>1593</v>
      </c>
      <c r="B440" s="119" t="s">
        <v>287</v>
      </c>
      <c r="C440" t="s">
        <v>485</v>
      </c>
      <c r="D440" t="s">
        <v>1593</v>
      </c>
    </row>
    <row r="441" spans="1:4">
      <c r="A441" t="s">
        <v>1594</v>
      </c>
      <c r="B441" s="119" t="s">
        <v>288</v>
      </c>
      <c r="C441" t="s">
        <v>486</v>
      </c>
      <c r="D441" t="s">
        <v>1594</v>
      </c>
    </row>
    <row r="442" spans="1:4">
      <c r="A442" t="s">
        <v>1598</v>
      </c>
      <c r="B442" t="s">
        <v>289</v>
      </c>
      <c r="C442" t="s">
        <v>487</v>
      </c>
      <c r="D442" t="s">
        <v>1598</v>
      </c>
    </row>
    <row r="443" spans="1:4">
      <c r="A443" t="s">
        <v>1599</v>
      </c>
      <c r="B443" t="s">
        <v>136</v>
      </c>
      <c r="C443" t="s">
        <v>488</v>
      </c>
      <c r="D443" t="s">
        <v>1599</v>
      </c>
    </row>
    <row r="444" spans="1:4">
      <c r="A444" t="s">
        <v>137</v>
      </c>
      <c r="B444" s="119" t="s">
        <v>290</v>
      </c>
      <c r="C444" t="s">
        <v>489</v>
      </c>
      <c r="D444" t="s">
        <v>137</v>
      </c>
    </row>
    <row r="445" spans="1:4">
      <c r="A445" t="s">
        <v>1600</v>
      </c>
      <c r="B445" s="119" t="s">
        <v>291</v>
      </c>
      <c r="C445" t="s">
        <v>490</v>
      </c>
      <c r="D445" t="s">
        <v>1600</v>
      </c>
    </row>
    <row r="446" spans="1:4">
      <c r="A446" t="s">
        <v>1601</v>
      </c>
      <c r="B446" s="119" t="s">
        <v>292</v>
      </c>
      <c r="C446" t="s">
        <v>491</v>
      </c>
      <c r="D446" t="s">
        <v>1601</v>
      </c>
    </row>
    <row r="447" spans="1:4">
      <c r="A447" t="s">
        <v>425</v>
      </c>
      <c r="B447" s="119" t="s">
        <v>293</v>
      </c>
      <c r="C447" t="s">
        <v>2328</v>
      </c>
      <c r="D447" t="s">
        <v>425</v>
      </c>
    </row>
    <row r="448" spans="1:4">
      <c r="A448" t="s">
        <v>426</v>
      </c>
      <c r="B448" s="119" t="s">
        <v>138</v>
      </c>
      <c r="C448" t="s">
        <v>2329</v>
      </c>
      <c r="D448" t="s">
        <v>426</v>
      </c>
    </row>
    <row r="449" spans="1:4">
      <c r="A449" t="s">
        <v>70</v>
      </c>
      <c r="B449" s="119" t="s">
        <v>140</v>
      </c>
      <c r="C449" t="s">
        <v>492</v>
      </c>
      <c r="D449" t="s">
        <v>70</v>
      </c>
    </row>
    <row r="450" spans="1:4">
      <c r="A450" t="s">
        <v>1565</v>
      </c>
      <c r="B450" s="119" t="s">
        <v>141</v>
      </c>
      <c r="C450" t="s">
        <v>493</v>
      </c>
      <c r="D450" t="s">
        <v>1565</v>
      </c>
    </row>
    <row r="451" spans="1:4">
      <c r="A451" t="s">
        <v>1570</v>
      </c>
      <c r="B451" s="119" t="s">
        <v>1712</v>
      </c>
      <c r="C451" t="s">
        <v>494</v>
      </c>
      <c r="D451" t="s">
        <v>1570</v>
      </c>
    </row>
    <row r="452" spans="1:4">
      <c r="A452" t="s">
        <v>1566</v>
      </c>
      <c r="B452" s="119" t="s">
        <v>1713</v>
      </c>
      <c r="C452" t="s">
        <v>495</v>
      </c>
      <c r="D452" t="s">
        <v>1566</v>
      </c>
    </row>
    <row r="453" spans="1:4">
      <c r="A453" t="s">
        <v>1567</v>
      </c>
      <c r="B453" s="119" t="s">
        <v>1714</v>
      </c>
      <c r="C453" t="s">
        <v>496</v>
      </c>
      <c r="D453" t="s">
        <v>1567</v>
      </c>
    </row>
    <row r="454" spans="1:4">
      <c r="A454" t="s">
        <v>1568</v>
      </c>
      <c r="B454" s="119" t="s">
        <v>1715</v>
      </c>
      <c r="C454" t="s">
        <v>497</v>
      </c>
      <c r="D454" t="s">
        <v>1568</v>
      </c>
    </row>
    <row r="455" spans="1:4">
      <c r="A455" t="s">
        <v>1569</v>
      </c>
      <c r="B455" s="119" t="s">
        <v>173</v>
      </c>
      <c r="C455" t="s">
        <v>498</v>
      </c>
      <c r="D455" t="s">
        <v>1569</v>
      </c>
    </row>
    <row r="456" spans="1:4">
      <c r="A456" t="s">
        <v>1948</v>
      </c>
      <c r="B456" s="119" t="s">
        <v>1716</v>
      </c>
      <c r="C456" t="s">
        <v>499</v>
      </c>
      <c r="D456" t="s">
        <v>1948</v>
      </c>
    </row>
    <row r="457" spans="1:4">
      <c r="A457" t="s">
        <v>2325</v>
      </c>
      <c r="B457" s="119" t="s">
        <v>1717</v>
      </c>
      <c r="C457" t="s">
        <v>500</v>
      </c>
      <c r="D457" t="s">
        <v>2325</v>
      </c>
    </row>
    <row r="458" spans="1:4">
      <c r="A458" t="s">
        <v>1949</v>
      </c>
      <c r="B458" s="119" t="s">
        <v>1718</v>
      </c>
      <c r="C458" t="s">
        <v>501</v>
      </c>
      <c r="D458" t="s">
        <v>1949</v>
      </c>
    </row>
    <row r="459" spans="1:4">
      <c r="A459" t="s">
        <v>647</v>
      </c>
      <c r="B459" s="119" t="s">
        <v>1719</v>
      </c>
      <c r="C459" t="s">
        <v>1902</v>
      </c>
      <c r="D459" t="s">
        <v>647</v>
      </c>
    </row>
    <row r="460" spans="1:4">
      <c r="A460" t="s">
        <v>1950</v>
      </c>
      <c r="B460" s="119" t="s">
        <v>1720</v>
      </c>
      <c r="C460" t="s">
        <v>1903</v>
      </c>
      <c r="D460" t="s">
        <v>1950</v>
      </c>
    </row>
    <row r="461" spans="1:4">
      <c r="A461" t="s">
        <v>1951</v>
      </c>
      <c r="B461" s="119" t="s">
        <v>150</v>
      </c>
      <c r="C461" t="s">
        <v>1904</v>
      </c>
      <c r="D461" t="s">
        <v>1951</v>
      </c>
    </row>
    <row r="462" spans="1:4">
      <c r="A462" t="s">
        <v>1952</v>
      </c>
      <c r="B462" s="119" t="s">
        <v>151</v>
      </c>
      <c r="C462" t="s">
        <v>1905</v>
      </c>
      <c r="D462" t="s">
        <v>1952</v>
      </c>
    </row>
    <row r="463" spans="1:4">
      <c r="A463" t="s">
        <v>1953</v>
      </c>
      <c r="B463" s="119" t="s">
        <v>174</v>
      </c>
      <c r="C463" t="s">
        <v>1906</v>
      </c>
      <c r="D463" t="s">
        <v>1953</v>
      </c>
    </row>
    <row r="464" spans="1:4">
      <c r="A464" t="s">
        <v>648</v>
      </c>
      <c r="B464" s="119" t="s">
        <v>172</v>
      </c>
      <c r="C464" t="s">
        <v>1907</v>
      </c>
      <c r="D464" t="s">
        <v>648</v>
      </c>
    </row>
    <row r="465" spans="1:4">
      <c r="A465" t="s">
        <v>1954</v>
      </c>
      <c r="B465" s="119" t="s">
        <v>152</v>
      </c>
      <c r="C465" t="s">
        <v>1908</v>
      </c>
      <c r="D465" t="s">
        <v>1954</v>
      </c>
    </row>
    <row r="466" spans="1:4">
      <c r="A466" t="s">
        <v>1572</v>
      </c>
      <c r="B466" s="119" t="s">
        <v>1540</v>
      </c>
      <c r="C466" t="s">
        <v>1909</v>
      </c>
      <c r="D466" t="s">
        <v>1572</v>
      </c>
    </row>
    <row r="467" spans="1:4">
      <c r="A467" t="s">
        <v>1955</v>
      </c>
      <c r="B467" s="119" t="s">
        <v>766</v>
      </c>
      <c r="C467" t="s">
        <v>574</v>
      </c>
      <c r="D467" t="s">
        <v>1955</v>
      </c>
    </row>
    <row r="468" spans="1:4">
      <c r="A468" t="s">
        <v>1956</v>
      </c>
      <c r="B468" s="119" t="s">
        <v>767</v>
      </c>
      <c r="C468" t="s">
        <v>575</v>
      </c>
      <c r="D468" t="s">
        <v>1956</v>
      </c>
    </row>
    <row r="469" spans="1:4">
      <c r="A469" t="s">
        <v>1957</v>
      </c>
      <c r="B469" s="119" t="s">
        <v>1541</v>
      </c>
      <c r="C469" t="s">
        <v>576</v>
      </c>
      <c r="D469" t="s">
        <v>1957</v>
      </c>
    </row>
    <row r="470" spans="1:4">
      <c r="A470" t="s">
        <v>1958</v>
      </c>
      <c r="B470" s="119" t="s">
        <v>1542</v>
      </c>
      <c r="C470" t="s">
        <v>577</v>
      </c>
      <c r="D470" t="s">
        <v>1958</v>
      </c>
    </row>
    <row r="471" spans="1:4">
      <c r="A471" t="s">
        <v>1571</v>
      </c>
      <c r="B471" s="119" t="s">
        <v>1543</v>
      </c>
      <c r="C471" t="s">
        <v>578</v>
      </c>
      <c r="D471" t="s">
        <v>1571</v>
      </c>
    </row>
    <row r="472" spans="1:4">
      <c r="A472" t="s">
        <v>1959</v>
      </c>
      <c r="B472" s="119" t="s">
        <v>1544</v>
      </c>
      <c r="C472" t="s">
        <v>579</v>
      </c>
      <c r="D472" t="s">
        <v>1959</v>
      </c>
    </row>
    <row r="473" spans="1:4">
      <c r="A473" t="s">
        <v>322</v>
      </c>
      <c r="B473" s="119" t="s">
        <v>398</v>
      </c>
      <c r="C473" t="s">
        <v>580</v>
      </c>
      <c r="D473" t="s">
        <v>322</v>
      </c>
    </row>
    <row r="474" spans="1:4">
      <c r="A474" t="s">
        <v>421</v>
      </c>
      <c r="B474" s="119" t="s">
        <v>1545</v>
      </c>
      <c r="C474" t="s">
        <v>982</v>
      </c>
      <c r="D474" t="s">
        <v>421</v>
      </c>
    </row>
    <row r="475" spans="1:4">
      <c r="A475" t="s">
        <v>1960</v>
      </c>
      <c r="B475" s="119" t="s">
        <v>1546</v>
      </c>
      <c r="C475" t="s">
        <v>581</v>
      </c>
      <c r="D475" t="s">
        <v>1960</v>
      </c>
    </row>
    <row r="476" spans="1:4">
      <c r="A476" t="s">
        <v>1961</v>
      </c>
      <c r="B476" s="119" t="s">
        <v>1547</v>
      </c>
      <c r="C476" t="s">
        <v>582</v>
      </c>
      <c r="D476" t="s">
        <v>1961</v>
      </c>
    </row>
    <row r="477" spans="1:4">
      <c r="A477" t="s">
        <v>1573</v>
      </c>
      <c r="B477" s="119" t="s">
        <v>764</v>
      </c>
      <c r="C477" t="s">
        <v>583</v>
      </c>
      <c r="D477" t="s">
        <v>1573</v>
      </c>
    </row>
    <row r="478" spans="1:4">
      <c r="A478" t="s">
        <v>396</v>
      </c>
      <c r="B478" s="119" t="s">
        <v>397</v>
      </c>
      <c r="C478" t="s">
        <v>584</v>
      </c>
      <c r="D478" t="s">
        <v>396</v>
      </c>
    </row>
    <row r="479" spans="1:4">
      <c r="A479" t="s">
        <v>422</v>
      </c>
      <c r="B479" s="119" t="s">
        <v>765</v>
      </c>
      <c r="C479" t="s">
        <v>585</v>
      </c>
      <c r="D479" t="s">
        <v>422</v>
      </c>
    </row>
    <row r="480" spans="1:4">
      <c r="A480" t="s">
        <v>1962</v>
      </c>
      <c r="B480" s="119" t="s">
        <v>1695</v>
      </c>
      <c r="C480" t="s">
        <v>586</v>
      </c>
      <c r="D480" t="s">
        <v>1962</v>
      </c>
    </row>
    <row r="481" spans="1:4">
      <c r="A481" t="s">
        <v>32</v>
      </c>
      <c r="B481" s="119" t="s">
        <v>175</v>
      </c>
      <c r="C481" t="s">
        <v>587</v>
      </c>
      <c r="D481" t="s">
        <v>32</v>
      </c>
    </row>
    <row r="482" spans="1:4">
      <c r="A482" t="s">
        <v>427</v>
      </c>
      <c r="B482" s="119" t="s">
        <v>1693</v>
      </c>
      <c r="C482" t="s">
        <v>588</v>
      </c>
      <c r="D482" t="s">
        <v>427</v>
      </c>
    </row>
    <row r="483" spans="1:4">
      <c r="A483" t="s">
        <v>71</v>
      </c>
      <c r="B483" s="119" t="s">
        <v>1694</v>
      </c>
      <c r="C483" t="s">
        <v>589</v>
      </c>
      <c r="D483" t="s">
        <v>71</v>
      </c>
    </row>
    <row r="484" spans="1:4">
      <c r="A484" t="s">
        <v>632</v>
      </c>
      <c r="B484" s="119" t="s">
        <v>1700</v>
      </c>
      <c r="C484" t="s">
        <v>590</v>
      </c>
      <c r="D484" t="s">
        <v>632</v>
      </c>
    </row>
    <row r="485" spans="1:4">
      <c r="A485" t="s">
        <v>633</v>
      </c>
      <c r="B485" s="119" t="s">
        <v>1701</v>
      </c>
      <c r="C485" t="s">
        <v>591</v>
      </c>
      <c r="D485" t="s">
        <v>633</v>
      </c>
    </row>
    <row r="486" spans="1:4">
      <c r="A486" t="s">
        <v>634</v>
      </c>
      <c r="B486" s="119" t="s">
        <v>1702</v>
      </c>
      <c r="C486" t="s">
        <v>592</v>
      </c>
      <c r="D486" t="s">
        <v>634</v>
      </c>
    </row>
    <row r="487" spans="1:4">
      <c r="A487" t="s">
        <v>1003</v>
      </c>
      <c r="B487" s="119" t="s">
        <v>1703</v>
      </c>
      <c r="C487" t="s">
        <v>593</v>
      </c>
      <c r="D487" t="s">
        <v>1003</v>
      </c>
    </row>
    <row r="488" spans="1:4">
      <c r="A488" t="s">
        <v>1004</v>
      </c>
      <c r="B488" s="119" t="s">
        <v>1704</v>
      </c>
      <c r="C488" t="s">
        <v>594</v>
      </c>
      <c r="D488" t="s">
        <v>1004</v>
      </c>
    </row>
    <row r="489" spans="1:4">
      <c r="A489" t="s">
        <v>1005</v>
      </c>
      <c r="B489" s="119" t="s">
        <v>1705</v>
      </c>
      <c r="C489" t="s">
        <v>595</v>
      </c>
      <c r="D489" t="s">
        <v>1005</v>
      </c>
    </row>
    <row r="490" spans="1:4">
      <c r="A490" t="s">
        <v>1006</v>
      </c>
      <c r="B490" s="119" t="s">
        <v>1706</v>
      </c>
      <c r="C490" t="s">
        <v>596</v>
      </c>
      <c r="D490" t="s">
        <v>1006</v>
      </c>
    </row>
    <row r="491" spans="1:4">
      <c r="A491" t="s">
        <v>1007</v>
      </c>
      <c r="B491" s="119" t="s">
        <v>1707</v>
      </c>
      <c r="C491" t="s">
        <v>597</v>
      </c>
      <c r="D491" t="s">
        <v>1007</v>
      </c>
    </row>
    <row r="492" spans="1:4">
      <c r="A492" t="s">
        <v>1008</v>
      </c>
      <c r="B492" s="119" t="s">
        <v>1710</v>
      </c>
      <c r="C492" t="s">
        <v>2198</v>
      </c>
      <c r="D492" t="s">
        <v>1008</v>
      </c>
    </row>
    <row r="493" spans="1:4">
      <c r="A493" t="s">
        <v>1009</v>
      </c>
      <c r="B493" s="119" t="s">
        <v>1708</v>
      </c>
      <c r="C493" t="s">
        <v>2199</v>
      </c>
      <c r="D493" t="s">
        <v>1009</v>
      </c>
    </row>
    <row r="494" spans="1:4">
      <c r="A494" t="s">
        <v>651</v>
      </c>
      <c r="B494" s="119" t="s">
        <v>1709</v>
      </c>
      <c r="C494" t="s">
        <v>2200</v>
      </c>
      <c r="D494" t="s">
        <v>651</v>
      </c>
    </row>
    <row r="495" spans="1:4">
      <c r="A495" t="s">
        <v>652</v>
      </c>
      <c r="B495" s="119" t="s">
        <v>1711</v>
      </c>
      <c r="C495" t="s">
        <v>2201</v>
      </c>
      <c r="D495" t="s">
        <v>652</v>
      </c>
    </row>
    <row r="496" spans="1:4">
      <c r="A496" t="s">
        <v>1010</v>
      </c>
      <c r="B496" t="s">
        <v>1696</v>
      </c>
      <c r="C496" t="s">
        <v>2202</v>
      </c>
      <c r="D496" t="s">
        <v>1010</v>
      </c>
    </row>
    <row r="497" spans="1:4">
      <c r="A497" t="s">
        <v>628</v>
      </c>
      <c r="B497" t="s">
        <v>1697</v>
      </c>
      <c r="C497" t="s">
        <v>2203</v>
      </c>
      <c r="D497" t="s">
        <v>628</v>
      </c>
    </row>
    <row r="498" spans="1:4">
      <c r="A498" t="s">
        <v>629</v>
      </c>
      <c r="B498" t="s">
        <v>1698</v>
      </c>
      <c r="C498" t="s">
        <v>2204</v>
      </c>
      <c r="D498" t="s">
        <v>629</v>
      </c>
    </row>
    <row r="499" spans="1:4">
      <c r="A499" t="s">
        <v>650</v>
      </c>
      <c r="B499" t="s">
        <v>1699</v>
      </c>
      <c r="C499" t="s">
        <v>2205</v>
      </c>
      <c r="D499" t="s">
        <v>650</v>
      </c>
    </row>
    <row r="500" spans="1:4">
      <c r="A500" t="s">
        <v>635</v>
      </c>
      <c r="B500" t="s">
        <v>355</v>
      </c>
      <c r="C500" t="s">
        <v>2206</v>
      </c>
      <c r="D500" t="s">
        <v>635</v>
      </c>
    </row>
    <row r="501" spans="1:4">
      <c r="A501" t="s">
        <v>636</v>
      </c>
      <c r="B501" t="s">
        <v>356</v>
      </c>
      <c r="C501" t="s">
        <v>2207</v>
      </c>
      <c r="D501" t="s">
        <v>636</v>
      </c>
    </row>
    <row r="502" spans="1:4">
      <c r="A502" t="s">
        <v>630</v>
      </c>
      <c r="B502" t="s">
        <v>357</v>
      </c>
      <c r="C502" t="s">
        <v>2208</v>
      </c>
      <c r="D502" t="s">
        <v>630</v>
      </c>
    </row>
    <row r="503" spans="1:4">
      <c r="A503" t="s">
        <v>631</v>
      </c>
      <c r="B503" t="s">
        <v>358</v>
      </c>
      <c r="C503" t="s">
        <v>2209</v>
      </c>
      <c r="D503" t="s">
        <v>631</v>
      </c>
    </row>
    <row r="504" spans="1:4">
      <c r="A504" t="s">
        <v>654</v>
      </c>
      <c r="B504" t="s">
        <v>359</v>
      </c>
      <c r="C504" t="s">
        <v>2210</v>
      </c>
      <c r="D504" t="s">
        <v>654</v>
      </c>
    </row>
    <row r="505" spans="1:4">
      <c r="A505" t="s">
        <v>423</v>
      </c>
      <c r="B505" t="s">
        <v>360</v>
      </c>
      <c r="C505" t="s">
        <v>2211</v>
      </c>
      <c r="D505" t="s">
        <v>423</v>
      </c>
    </row>
    <row r="506" spans="1:4">
      <c r="A506" t="s">
        <v>424</v>
      </c>
      <c r="B506" t="s">
        <v>361</v>
      </c>
      <c r="C506" t="s">
        <v>2212</v>
      </c>
      <c r="D506" t="s">
        <v>424</v>
      </c>
    </row>
    <row r="507" spans="1:4">
      <c r="A507" t="s">
        <v>428</v>
      </c>
      <c r="B507" t="s">
        <v>362</v>
      </c>
      <c r="C507" t="s">
        <v>2213</v>
      </c>
      <c r="D507" t="s">
        <v>428</v>
      </c>
    </row>
    <row r="508" spans="1:4">
      <c r="A508" t="s">
        <v>653</v>
      </c>
      <c r="B508" t="s">
        <v>363</v>
      </c>
      <c r="C508" t="s">
        <v>2330</v>
      </c>
      <c r="D508" t="s">
        <v>653</v>
      </c>
    </row>
    <row r="509" spans="1:4">
      <c r="A509" t="s">
        <v>72</v>
      </c>
      <c r="B509" t="s">
        <v>773</v>
      </c>
      <c r="C509" t="s">
        <v>2214</v>
      </c>
      <c r="D509" t="s">
        <v>72</v>
      </c>
    </row>
    <row r="510" spans="1:4">
      <c r="A510" t="s">
        <v>637</v>
      </c>
      <c r="B510" t="s">
        <v>774</v>
      </c>
      <c r="C510" t="s">
        <v>2215</v>
      </c>
      <c r="D510" t="s">
        <v>637</v>
      </c>
    </row>
    <row r="511" spans="1:4">
      <c r="A511" t="s">
        <v>640</v>
      </c>
      <c r="B511" t="s">
        <v>1721</v>
      </c>
      <c r="C511" t="s">
        <v>2216</v>
      </c>
      <c r="D511" t="s">
        <v>640</v>
      </c>
    </row>
    <row r="512" spans="1:4">
      <c r="A512" t="s">
        <v>429</v>
      </c>
      <c r="B512" t="s">
        <v>1722</v>
      </c>
      <c r="C512" t="s">
        <v>2217</v>
      </c>
      <c r="D512" t="s">
        <v>429</v>
      </c>
    </row>
    <row r="513" spans="1:4">
      <c r="A513" t="s">
        <v>430</v>
      </c>
      <c r="B513" t="s">
        <v>775</v>
      </c>
      <c r="C513" t="s">
        <v>2218</v>
      </c>
      <c r="D513" t="s">
        <v>430</v>
      </c>
    </row>
    <row r="514" spans="1:4">
      <c r="A514" t="s">
        <v>431</v>
      </c>
      <c r="B514" t="s">
        <v>776</v>
      </c>
      <c r="C514" t="s">
        <v>2219</v>
      </c>
      <c r="D514" t="s">
        <v>431</v>
      </c>
    </row>
    <row r="515" spans="1:4">
      <c r="A515" t="s">
        <v>638</v>
      </c>
      <c r="B515" t="s">
        <v>777</v>
      </c>
      <c r="C515" t="s">
        <v>2220</v>
      </c>
      <c r="D515" t="s">
        <v>638</v>
      </c>
    </row>
    <row r="516" spans="1:4">
      <c r="A516" t="s">
        <v>1589</v>
      </c>
      <c r="B516" t="s">
        <v>1263</v>
      </c>
      <c r="C516" t="s">
        <v>697</v>
      </c>
      <c r="D516" t="s">
        <v>1589</v>
      </c>
    </row>
    <row r="517" spans="1:4">
      <c r="A517" t="s">
        <v>641</v>
      </c>
      <c r="B517" t="s">
        <v>778</v>
      </c>
      <c r="C517" t="s">
        <v>2221</v>
      </c>
      <c r="D517" t="s">
        <v>641</v>
      </c>
    </row>
    <row r="518" spans="1:4">
      <c r="A518" t="s">
        <v>1597</v>
      </c>
      <c r="B518" t="s">
        <v>285</v>
      </c>
      <c r="C518" t="s">
        <v>482</v>
      </c>
      <c r="D518" t="s">
        <v>1597</v>
      </c>
    </row>
    <row r="519" spans="1:4">
      <c r="A519" t="s">
        <v>1592</v>
      </c>
      <c r="B519" t="s">
        <v>286</v>
      </c>
      <c r="C519" t="s">
        <v>483</v>
      </c>
      <c r="D519" t="s">
        <v>1592</v>
      </c>
    </row>
    <row r="520" spans="1:4">
      <c r="A520" t="s">
        <v>1593</v>
      </c>
      <c r="B520" s="119" t="s">
        <v>287</v>
      </c>
      <c r="C520" t="s">
        <v>1174</v>
      </c>
      <c r="D520" t="s">
        <v>1593</v>
      </c>
    </row>
    <row r="521" spans="1:4">
      <c r="A521" t="s">
        <v>1594</v>
      </c>
      <c r="B521" s="119" t="s">
        <v>288</v>
      </c>
      <c r="C521" t="s">
        <v>486</v>
      </c>
      <c r="D521" t="s">
        <v>1594</v>
      </c>
    </row>
    <row r="522" spans="1:4">
      <c r="A522" t="s">
        <v>1598</v>
      </c>
      <c r="B522" t="s">
        <v>289</v>
      </c>
      <c r="C522" t="s">
        <v>487</v>
      </c>
      <c r="D522" t="s">
        <v>1598</v>
      </c>
    </row>
    <row r="523" spans="1:4">
      <c r="A523" t="s">
        <v>1599</v>
      </c>
      <c r="B523" t="s">
        <v>136</v>
      </c>
      <c r="C523" t="s">
        <v>488</v>
      </c>
      <c r="D523" t="s">
        <v>1599</v>
      </c>
    </row>
    <row r="524" spans="1:4">
      <c r="A524" t="s">
        <v>642</v>
      </c>
      <c r="B524" t="s">
        <v>291</v>
      </c>
      <c r="C524" t="s">
        <v>1175</v>
      </c>
      <c r="D524" t="s">
        <v>642</v>
      </c>
    </row>
    <row r="525" spans="1:4">
      <c r="A525" t="s">
        <v>643</v>
      </c>
      <c r="B525" t="s">
        <v>779</v>
      </c>
      <c r="C525" t="s">
        <v>1176</v>
      </c>
      <c r="D525" t="s">
        <v>643</v>
      </c>
    </row>
    <row r="526" spans="1:4">
      <c r="A526" t="s">
        <v>435</v>
      </c>
      <c r="B526" t="s">
        <v>780</v>
      </c>
      <c r="C526" t="s">
        <v>1177</v>
      </c>
      <c r="D526" t="s">
        <v>435</v>
      </c>
    </row>
    <row r="527" spans="1:4">
      <c r="A527" t="s">
        <v>205</v>
      </c>
      <c r="B527" t="s">
        <v>781</v>
      </c>
      <c r="C527" t="s">
        <v>1178</v>
      </c>
      <c r="D527" t="s">
        <v>205</v>
      </c>
    </row>
    <row r="528" spans="1:4">
      <c r="A528" t="s">
        <v>202</v>
      </c>
      <c r="B528" t="s">
        <v>782</v>
      </c>
      <c r="C528" t="s">
        <v>1179</v>
      </c>
      <c r="D528" t="s">
        <v>202</v>
      </c>
    </row>
    <row r="529" spans="1:4">
      <c r="A529" t="s">
        <v>644</v>
      </c>
      <c r="B529" t="s">
        <v>783</v>
      </c>
      <c r="C529" t="s">
        <v>1180</v>
      </c>
      <c r="D529" t="s">
        <v>644</v>
      </c>
    </row>
    <row r="530" spans="1:4">
      <c r="A530" t="s">
        <v>206</v>
      </c>
      <c r="B530" t="s">
        <v>784</v>
      </c>
      <c r="C530" t="s">
        <v>1181</v>
      </c>
      <c r="D530" t="s">
        <v>206</v>
      </c>
    </row>
    <row r="531" spans="1:4">
      <c r="A531" t="s">
        <v>203</v>
      </c>
      <c r="B531" t="s">
        <v>785</v>
      </c>
      <c r="C531" t="s">
        <v>1182</v>
      </c>
      <c r="D531" t="s">
        <v>203</v>
      </c>
    </row>
    <row r="532" spans="1:4">
      <c r="A532" t="s">
        <v>207</v>
      </c>
      <c r="B532" t="s">
        <v>786</v>
      </c>
      <c r="C532" t="s">
        <v>1183</v>
      </c>
      <c r="D532" t="s">
        <v>207</v>
      </c>
    </row>
    <row r="533" spans="1:4">
      <c r="A533" t="s">
        <v>204</v>
      </c>
      <c r="B533" t="s">
        <v>787</v>
      </c>
      <c r="C533" t="s">
        <v>1184</v>
      </c>
      <c r="D533" t="s">
        <v>204</v>
      </c>
    </row>
    <row r="534" spans="1:4">
      <c r="A534" t="s">
        <v>210</v>
      </c>
      <c r="B534" t="s">
        <v>788</v>
      </c>
      <c r="C534" t="s">
        <v>1185</v>
      </c>
      <c r="D534" t="s">
        <v>210</v>
      </c>
    </row>
    <row r="535" spans="1:4">
      <c r="A535" t="s">
        <v>209</v>
      </c>
      <c r="B535" t="s">
        <v>789</v>
      </c>
      <c r="C535" t="s">
        <v>1186</v>
      </c>
      <c r="D535" t="s">
        <v>209</v>
      </c>
    </row>
    <row r="536" spans="1:4">
      <c r="A536" t="s">
        <v>208</v>
      </c>
      <c r="B536" t="s">
        <v>794</v>
      </c>
      <c r="C536" t="s">
        <v>1187</v>
      </c>
      <c r="D536" t="s">
        <v>208</v>
      </c>
    </row>
    <row r="537" spans="1:4">
      <c r="A537" t="s">
        <v>216</v>
      </c>
      <c r="B537" t="s">
        <v>795</v>
      </c>
      <c r="C537" t="s">
        <v>1188</v>
      </c>
      <c r="D537" t="s">
        <v>216</v>
      </c>
    </row>
    <row r="538" spans="1:4">
      <c r="A538" t="s">
        <v>215</v>
      </c>
      <c r="B538" t="s">
        <v>796</v>
      </c>
      <c r="C538" t="s">
        <v>1189</v>
      </c>
      <c r="D538" t="s">
        <v>215</v>
      </c>
    </row>
    <row r="539" spans="1:4">
      <c r="A539" t="s">
        <v>217</v>
      </c>
      <c r="B539" t="s">
        <v>797</v>
      </c>
      <c r="C539" t="s">
        <v>1190</v>
      </c>
      <c r="D539" t="s">
        <v>217</v>
      </c>
    </row>
    <row r="540" spans="1:4">
      <c r="A540" t="s">
        <v>1070</v>
      </c>
      <c r="B540" t="s">
        <v>799</v>
      </c>
      <c r="C540" t="s">
        <v>1191</v>
      </c>
      <c r="D540" t="s">
        <v>1070</v>
      </c>
    </row>
    <row r="541" spans="1:4">
      <c r="A541" t="s">
        <v>1071</v>
      </c>
      <c r="B541" t="s">
        <v>800</v>
      </c>
      <c r="C541" t="s">
        <v>1192</v>
      </c>
      <c r="D541" t="s">
        <v>1071</v>
      </c>
    </row>
    <row r="542" spans="1:4">
      <c r="A542" t="s">
        <v>671</v>
      </c>
      <c r="B542" t="s">
        <v>672</v>
      </c>
      <c r="C542" t="s">
        <v>1193</v>
      </c>
      <c r="D542" t="s">
        <v>671</v>
      </c>
    </row>
    <row r="543" spans="1:4">
      <c r="A543" t="s">
        <v>639</v>
      </c>
      <c r="B543" t="s">
        <v>801</v>
      </c>
      <c r="C543" t="s">
        <v>1194</v>
      </c>
      <c r="D543" t="s">
        <v>639</v>
      </c>
    </row>
    <row r="544" spans="1:4">
      <c r="A544" t="s">
        <v>1072</v>
      </c>
      <c r="B544" t="s">
        <v>1076</v>
      </c>
      <c r="C544" t="s">
        <v>1195</v>
      </c>
      <c r="D544" t="s">
        <v>1072</v>
      </c>
    </row>
    <row r="545" spans="1:4">
      <c r="A545" t="s">
        <v>1073</v>
      </c>
      <c r="B545" t="s">
        <v>1077</v>
      </c>
      <c r="C545" t="s">
        <v>1196</v>
      </c>
      <c r="D545" t="s">
        <v>1073</v>
      </c>
    </row>
    <row r="546" spans="1:4">
      <c r="A546" t="s">
        <v>2011</v>
      </c>
      <c r="B546" t="s">
        <v>1078</v>
      </c>
      <c r="C546" t="s">
        <v>2346</v>
      </c>
      <c r="D546" t="s">
        <v>2011</v>
      </c>
    </row>
    <row r="547" spans="1:4">
      <c r="A547" t="s">
        <v>1074</v>
      </c>
      <c r="B547" t="s">
        <v>1078</v>
      </c>
      <c r="C547" t="s">
        <v>1197</v>
      </c>
      <c r="D547" t="s">
        <v>1074</v>
      </c>
    </row>
    <row r="548" spans="1:4">
      <c r="A548" t="s">
        <v>2302</v>
      </c>
      <c r="B548" t="s">
        <v>2307</v>
      </c>
      <c r="C548" t="s">
        <v>1198</v>
      </c>
      <c r="D548" t="s">
        <v>2302</v>
      </c>
    </row>
    <row r="549" spans="1:4">
      <c r="A549" t="s">
        <v>1073</v>
      </c>
      <c r="B549" t="s">
        <v>1075</v>
      </c>
      <c r="C549" t="s">
        <v>1196</v>
      </c>
      <c r="D549" t="s">
        <v>1073</v>
      </c>
    </row>
    <row r="550" spans="1:4">
      <c r="A550" t="s">
        <v>655</v>
      </c>
      <c r="B550" t="s">
        <v>1723</v>
      </c>
      <c r="C550" t="s">
        <v>1199</v>
      </c>
      <c r="D550" t="s">
        <v>655</v>
      </c>
    </row>
    <row r="551" spans="1:4">
      <c r="A551" t="s">
        <v>640</v>
      </c>
      <c r="B551" t="s">
        <v>1721</v>
      </c>
      <c r="C551" t="s">
        <v>1200</v>
      </c>
      <c r="D551" t="s">
        <v>640</v>
      </c>
    </row>
    <row r="552" spans="1:4">
      <c r="A552" t="s">
        <v>467</v>
      </c>
      <c r="B552" t="s">
        <v>1724</v>
      </c>
      <c r="C552" t="s">
        <v>1201</v>
      </c>
      <c r="D552" t="s">
        <v>467</v>
      </c>
    </row>
    <row r="553" spans="1:4">
      <c r="A553" t="s">
        <v>430</v>
      </c>
      <c r="B553" t="s">
        <v>775</v>
      </c>
      <c r="C553" t="s">
        <v>2219</v>
      </c>
      <c r="D553" t="s">
        <v>430</v>
      </c>
    </row>
    <row r="554" spans="1:4">
      <c r="A554" t="s">
        <v>431</v>
      </c>
      <c r="B554" t="s">
        <v>776</v>
      </c>
      <c r="C554" t="s">
        <v>1202</v>
      </c>
      <c r="D554" t="s">
        <v>431</v>
      </c>
    </row>
    <row r="555" spans="1:4">
      <c r="A555" t="s">
        <v>169</v>
      </c>
      <c r="B555" t="s">
        <v>170</v>
      </c>
      <c r="C555" t="s">
        <v>1203</v>
      </c>
      <c r="D555" t="s">
        <v>169</v>
      </c>
    </row>
    <row r="556" spans="1:4">
      <c r="A556" t="s">
        <v>218</v>
      </c>
      <c r="B556" t="s">
        <v>1749</v>
      </c>
      <c r="C556" t="s">
        <v>1204</v>
      </c>
      <c r="D556" t="s">
        <v>218</v>
      </c>
    </row>
    <row r="557" spans="1:4">
      <c r="A557" t="s">
        <v>219</v>
      </c>
      <c r="B557" t="s">
        <v>1725</v>
      </c>
      <c r="C557" t="s">
        <v>1205</v>
      </c>
      <c r="D557" t="s">
        <v>219</v>
      </c>
    </row>
    <row r="558" spans="1:4">
      <c r="A558" t="s">
        <v>701</v>
      </c>
      <c r="B558" t="s">
        <v>1750</v>
      </c>
      <c r="C558" t="s">
        <v>1206</v>
      </c>
      <c r="D558" t="s">
        <v>701</v>
      </c>
    </row>
    <row r="559" spans="1:4">
      <c r="A559" t="s">
        <v>441</v>
      </c>
      <c r="B559" t="s">
        <v>1367</v>
      </c>
      <c r="C559" t="s">
        <v>1207</v>
      </c>
      <c r="D559" t="s">
        <v>441</v>
      </c>
    </row>
    <row r="560" spans="1:4">
      <c r="A560" t="s">
        <v>447</v>
      </c>
      <c r="B560" t="s">
        <v>1368</v>
      </c>
      <c r="C560" t="s">
        <v>1208</v>
      </c>
      <c r="D560" t="s">
        <v>447</v>
      </c>
    </row>
    <row r="561" spans="1:4">
      <c r="A561" t="s">
        <v>444</v>
      </c>
      <c r="B561" t="s">
        <v>1369</v>
      </c>
      <c r="C561" t="s">
        <v>1209</v>
      </c>
      <c r="D561" t="s">
        <v>444</v>
      </c>
    </row>
    <row r="562" spans="1:4">
      <c r="A562" t="s">
        <v>445</v>
      </c>
      <c r="B562" t="s">
        <v>1370</v>
      </c>
      <c r="C562" t="s">
        <v>1210</v>
      </c>
      <c r="D562" t="s">
        <v>445</v>
      </c>
    </row>
    <row r="563" spans="1:4">
      <c r="A563" t="s">
        <v>443</v>
      </c>
      <c r="B563" t="s">
        <v>1371</v>
      </c>
      <c r="C563" t="s">
        <v>1211</v>
      </c>
      <c r="D563" t="s">
        <v>443</v>
      </c>
    </row>
    <row r="564" spans="1:4">
      <c r="A564" t="s">
        <v>442</v>
      </c>
      <c r="B564" t="s">
        <v>1372</v>
      </c>
      <c r="C564" t="s">
        <v>1212</v>
      </c>
      <c r="D564" t="s">
        <v>442</v>
      </c>
    </row>
    <row r="565" spans="1:4">
      <c r="A565" t="s">
        <v>1910</v>
      </c>
      <c r="B565" t="s">
        <v>1373</v>
      </c>
      <c r="C565" t="s">
        <v>1043</v>
      </c>
      <c r="D565" t="s">
        <v>1910</v>
      </c>
    </row>
    <row r="566" spans="1:4">
      <c r="A566" t="s">
        <v>446</v>
      </c>
      <c r="B566" t="s">
        <v>1374</v>
      </c>
      <c r="C566" t="s">
        <v>1044</v>
      </c>
      <c r="D566" t="s">
        <v>446</v>
      </c>
    </row>
    <row r="567" spans="1:4">
      <c r="A567" t="s">
        <v>448</v>
      </c>
      <c r="B567" t="s">
        <v>1375</v>
      </c>
      <c r="C567" t="s">
        <v>1045</v>
      </c>
      <c r="D567" t="s">
        <v>448</v>
      </c>
    </row>
    <row r="568" spans="1:4">
      <c r="A568" t="s">
        <v>449</v>
      </c>
      <c r="B568" t="s">
        <v>1376</v>
      </c>
      <c r="C568" t="s">
        <v>1046</v>
      </c>
      <c r="D568" t="s">
        <v>449</v>
      </c>
    </row>
    <row r="569" spans="1:4">
      <c r="A569" t="s">
        <v>73</v>
      </c>
      <c r="B569" t="s">
        <v>1387</v>
      </c>
      <c r="C569" t="s">
        <v>1047</v>
      </c>
      <c r="D569" t="s">
        <v>73</v>
      </c>
    </row>
    <row r="570" spans="1:4">
      <c r="A570" t="s">
        <v>74</v>
      </c>
      <c r="B570" t="s">
        <v>1388</v>
      </c>
      <c r="C570" t="s">
        <v>1048</v>
      </c>
      <c r="D570" t="s">
        <v>74</v>
      </c>
    </row>
    <row r="571" spans="1:4">
      <c r="A571" t="s">
        <v>2178</v>
      </c>
      <c r="B571" t="s">
        <v>1389</v>
      </c>
      <c r="C571" t="s">
        <v>1049</v>
      </c>
      <c r="D571" t="s">
        <v>2178</v>
      </c>
    </row>
    <row r="572" spans="1:4">
      <c r="A572" t="s">
        <v>171</v>
      </c>
      <c r="B572" t="s">
        <v>389</v>
      </c>
      <c r="C572" t="s">
        <v>1050</v>
      </c>
      <c r="D572" t="s">
        <v>171</v>
      </c>
    </row>
    <row r="573" spans="1:4">
      <c r="A573" t="s">
        <v>388</v>
      </c>
      <c r="B573" t="s">
        <v>390</v>
      </c>
      <c r="C573" t="s">
        <v>1051</v>
      </c>
      <c r="D573" t="s">
        <v>388</v>
      </c>
    </row>
    <row r="574" spans="1:4">
      <c r="A574" t="s">
        <v>702</v>
      </c>
      <c r="B574" t="s">
        <v>1390</v>
      </c>
      <c r="C574" t="s">
        <v>1052</v>
      </c>
      <c r="D574" t="s">
        <v>702</v>
      </c>
    </row>
    <row r="575" spans="1:4">
      <c r="A575" t="s">
        <v>703</v>
      </c>
      <c r="B575" t="s">
        <v>1391</v>
      </c>
      <c r="C575" t="s">
        <v>1053</v>
      </c>
      <c r="D575" t="s">
        <v>703</v>
      </c>
    </row>
    <row r="576" spans="1:4">
      <c r="A576" t="s">
        <v>2170</v>
      </c>
      <c r="B576" t="s">
        <v>1392</v>
      </c>
      <c r="C576" t="s">
        <v>1054</v>
      </c>
      <c r="D576" t="s">
        <v>2170</v>
      </c>
    </row>
    <row r="577" spans="1:4">
      <c r="A577" t="s">
        <v>2171</v>
      </c>
      <c r="B577" t="s">
        <v>283</v>
      </c>
      <c r="C577" t="s">
        <v>1055</v>
      </c>
      <c r="D577" t="s">
        <v>2171</v>
      </c>
    </row>
    <row r="578" spans="1:4">
      <c r="A578" t="s">
        <v>2173</v>
      </c>
      <c r="B578" t="s">
        <v>1393</v>
      </c>
      <c r="C578" t="s">
        <v>1056</v>
      </c>
      <c r="D578" t="s">
        <v>2173</v>
      </c>
    </row>
    <row r="579" spans="1:4">
      <c r="A579" t="s">
        <v>704</v>
      </c>
      <c r="B579" t="s">
        <v>704</v>
      </c>
      <c r="C579" t="s">
        <v>1057</v>
      </c>
      <c r="D579" t="s">
        <v>704</v>
      </c>
    </row>
    <row r="580" spans="1:4">
      <c r="A580" t="s">
        <v>2172</v>
      </c>
      <c r="B580" t="s">
        <v>2172</v>
      </c>
      <c r="C580" t="s">
        <v>1218</v>
      </c>
      <c r="D580" t="s">
        <v>2172</v>
      </c>
    </row>
    <row r="581" spans="1:4">
      <c r="A581" t="s">
        <v>2169</v>
      </c>
      <c r="B581" t="s">
        <v>784</v>
      </c>
      <c r="C581" t="s">
        <v>1219</v>
      </c>
      <c r="D581" t="s">
        <v>2169</v>
      </c>
    </row>
    <row r="582" spans="1:4">
      <c r="A582" t="s">
        <v>2177</v>
      </c>
      <c r="B582" t="s">
        <v>1394</v>
      </c>
      <c r="C582" t="s">
        <v>1220</v>
      </c>
      <c r="D582" t="s">
        <v>2177</v>
      </c>
    </row>
    <row r="583" spans="1:4">
      <c r="A583" t="s">
        <v>2174</v>
      </c>
      <c r="B583" t="s">
        <v>286</v>
      </c>
      <c r="C583" t="s">
        <v>1221</v>
      </c>
      <c r="D583" t="s">
        <v>2174</v>
      </c>
    </row>
    <row r="584" spans="1:4">
      <c r="A584" t="s">
        <v>2175</v>
      </c>
      <c r="B584" s="119" t="s">
        <v>287</v>
      </c>
      <c r="C584" t="s">
        <v>1222</v>
      </c>
      <c r="D584" t="s">
        <v>2175</v>
      </c>
    </row>
    <row r="585" spans="1:4">
      <c r="A585" t="s">
        <v>2176</v>
      </c>
      <c r="B585" s="119" t="s">
        <v>770</v>
      </c>
      <c r="C585" t="s">
        <v>1223</v>
      </c>
      <c r="D585" t="s">
        <v>2176</v>
      </c>
    </row>
    <row r="586" spans="1:4">
      <c r="A586" t="s">
        <v>631</v>
      </c>
      <c r="B586" s="119" t="s">
        <v>358</v>
      </c>
      <c r="C586" t="s">
        <v>2209</v>
      </c>
      <c r="D586" t="s">
        <v>631</v>
      </c>
    </row>
    <row r="587" spans="1:4">
      <c r="A587" t="s">
        <v>1536</v>
      </c>
      <c r="B587" s="119" t="s">
        <v>1751</v>
      </c>
      <c r="C587" t="s">
        <v>1224</v>
      </c>
      <c r="D587" t="s">
        <v>1536</v>
      </c>
    </row>
    <row r="588" spans="1:4">
      <c r="A588" t="s">
        <v>1395</v>
      </c>
      <c r="B588" s="119" t="s">
        <v>1752</v>
      </c>
      <c r="C588" t="s">
        <v>1225</v>
      </c>
      <c r="D588" t="s">
        <v>1395</v>
      </c>
    </row>
    <row r="589" spans="1:4">
      <c r="A589" t="s">
        <v>1399</v>
      </c>
      <c r="B589" s="119" t="s">
        <v>1753</v>
      </c>
      <c r="C589" t="s">
        <v>1226</v>
      </c>
      <c r="D589" t="s">
        <v>1399</v>
      </c>
    </row>
    <row r="590" spans="1:4">
      <c r="A590" t="s">
        <v>1398</v>
      </c>
      <c r="B590" s="119" t="s">
        <v>1754</v>
      </c>
      <c r="C590" t="s">
        <v>1227</v>
      </c>
      <c r="D590" t="s">
        <v>1398</v>
      </c>
    </row>
    <row r="591" spans="1:4">
      <c r="A591" t="s">
        <v>24</v>
      </c>
      <c r="B591" s="119" t="s">
        <v>1755</v>
      </c>
      <c r="C591" t="s">
        <v>838</v>
      </c>
      <c r="D591" t="s">
        <v>24</v>
      </c>
    </row>
    <row r="592" spans="1:4">
      <c r="A592" t="s">
        <v>1396</v>
      </c>
      <c r="B592" s="119" t="s">
        <v>1756</v>
      </c>
      <c r="C592" t="s">
        <v>1228</v>
      </c>
      <c r="D592" t="s">
        <v>1396</v>
      </c>
    </row>
    <row r="593" spans="1:4">
      <c r="A593" t="s">
        <v>1397</v>
      </c>
      <c r="B593" s="119" t="s">
        <v>1757</v>
      </c>
      <c r="C593" t="s">
        <v>1226</v>
      </c>
      <c r="D593" t="s">
        <v>1397</v>
      </c>
    </row>
    <row r="594" spans="1:4">
      <c r="A594" t="s">
        <v>1972</v>
      </c>
      <c r="B594" s="119" t="s">
        <v>1758</v>
      </c>
      <c r="C594" t="s">
        <v>1229</v>
      </c>
      <c r="D594" t="s">
        <v>1972</v>
      </c>
    </row>
    <row r="595" spans="1:4">
      <c r="A595" t="s">
        <v>26</v>
      </c>
      <c r="B595" s="119" t="s">
        <v>1759</v>
      </c>
      <c r="C595" t="s">
        <v>533</v>
      </c>
      <c r="D595" t="s">
        <v>26</v>
      </c>
    </row>
    <row r="596" spans="1:4">
      <c r="A596" t="s">
        <v>1402</v>
      </c>
      <c r="B596" s="119" t="s">
        <v>1760</v>
      </c>
      <c r="C596" t="s">
        <v>1230</v>
      </c>
      <c r="D596" t="s">
        <v>1402</v>
      </c>
    </row>
    <row r="597" spans="1:4">
      <c r="A597" t="s">
        <v>1403</v>
      </c>
      <c r="B597" s="119" t="s">
        <v>1761</v>
      </c>
      <c r="C597" t="s">
        <v>1231</v>
      </c>
      <c r="D597" t="s">
        <v>1403</v>
      </c>
    </row>
    <row r="598" spans="1:4">
      <c r="A598" t="s">
        <v>1404</v>
      </c>
      <c r="B598" s="119" t="s">
        <v>1762</v>
      </c>
      <c r="C598" t="s">
        <v>706</v>
      </c>
      <c r="D598" t="s">
        <v>1404</v>
      </c>
    </row>
    <row r="599" spans="1:4">
      <c r="A599" t="s">
        <v>1405</v>
      </c>
      <c r="B599" s="119" t="s">
        <v>1763</v>
      </c>
      <c r="C599" t="s">
        <v>707</v>
      </c>
      <c r="D599" t="s">
        <v>1405</v>
      </c>
    </row>
    <row r="600" spans="1:4">
      <c r="A600" t="s">
        <v>1406</v>
      </c>
      <c r="B600" s="119" t="s">
        <v>1764</v>
      </c>
      <c r="C600" t="s">
        <v>708</v>
      </c>
      <c r="D600" t="s">
        <v>1406</v>
      </c>
    </row>
    <row r="601" spans="1:4">
      <c r="A601" t="s">
        <v>1407</v>
      </c>
      <c r="B601" s="119" t="s">
        <v>1765</v>
      </c>
      <c r="C601" t="s">
        <v>709</v>
      </c>
      <c r="D601" t="s">
        <v>1407</v>
      </c>
    </row>
    <row r="602" spans="1:4">
      <c r="A602" t="s">
        <v>1408</v>
      </c>
      <c r="B602" s="119" t="s">
        <v>1766</v>
      </c>
      <c r="C602" t="s">
        <v>710</v>
      </c>
      <c r="D602" t="s">
        <v>1408</v>
      </c>
    </row>
    <row r="603" spans="1:4">
      <c r="A603" t="s">
        <v>1409</v>
      </c>
      <c r="B603" s="119" t="s">
        <v>1767</v>
      </c>
      <c r="C603" t="s">
        <v>711</v>
      </c>
      <c r="D603" t="s">
        <v>1409</v>
      </c>
    </row>
    <row r="604" spans="1:4">
      <c r="A604" t="s">
        <v>1410</v>
      </c>
      <c r="B604" s="119" t="s">
        <v>1768</v>
      </c>
      <c r="C604" t="s">
        <v>712</v>
      </c>
      <c r="D604" t="s">
        <v>1410</v>
      </c>
    </row>
    <row r="605" spans="1:4">
      <c r="A605" t="s">
        <v>1406</v>
      </c>
      <c r="B605" s="119" t="s">
        <v>1764</v>
      </c>
      <c r="C605" t="s">
        <v>708</v>
      </c>
      <c r="D605" t="s">
        <v>1406</v>
      </c>
    </row>
    <row r="606" spans="1:4">
      <c r="A606" t="s">
        <v>1407</v>
      </c>
      <c r="B606" s="119" t="s">
        <v>1765</v>
      </c>
      <c r="C606" t="s">
        <v>713</v>
      </c>
      <c r="D606" t="s">
        <v>1407</v>
      </c>
    </row>
    <row r="607" spans="1:4">
      <c r="A607" t="s">
        <v>1408</v>
      </c>
      <c r="B607" s="119" t="s">
        <v>1766</v>
      </c>
      <c r="C607" t="s">
        <v>714</v>
      </c>
      <c r="D607" t="s">
        <v>1408</v>
      </c>
    </row>
    <row r="608" spans="1:4">
      <c r="A608" t="s">
        <v>1409</v>
      </c>
      <c r="B608" s="119" t="s">
        <v>1767</v>
      </c>
      <c r="C608" t="s">
        <v>715</v>
      </c>
      <c r="D608" t="s">
        <v>1409</v>
      </c>
    </row>
    <row r="609" spans="1:4">
      <c r="A609" t="s">
        <v>1234</v>
      </c>
      <c r="B609" s="119" t="s">
        <v>1769</v>
      </c>
      <c r="C609" t="s">
        <v>716</v>
      </c>
      <c r="D609" t="s">
        <v>1234</v>
      </c>
    </row>
    <row r="610" spans="1:4">
      <c r="A610" t="s">
        <v>1235</v>
      </c>
      <c r="B610" s="119" t="s">
        <v>1770</v>
      </c>
      <c r="C610" t="s">
        <v>717</v>
      </c>
      <c r="D610" t="s">
        <v>1235</v>
      </c>
    </row>
    <row r="611" spans="1:4">
      <c r="A611" t="s">
        <v>1236</v>
      </c>
      <c r="B611" s="119" t="s">
        <v>1771</v>
      </c>
      <c r="C611" t="s">
        <v>718</v>
      </c>
      <c r="D611" t="s">
        <v>1236</v>
      </c>
    </row>
    <row r="612" spans="1:4">
      <c r="A612" t="s">
        <v>1237</v>
      </c>
      <c r="B612" s="119" t="s">
        <v>1772</v>
      </c>
      <c r="C612" t="s">
        <v>719</v>
      </c>
      <c r="D612" t="s">
        <v>1237</v>
      </c>
    </row>
    <row r="613" spans="1:4">
      <c r="A613" t="s">
        <v>1238</v>
      </c>
      <c r="B613" s="119" t="s">
        <v>1773</v>
      </c>
      <c r="C613" t="s">
        <v>720</v>
      </c>
      <c r="D613" t="s">
        <v>1238</v>
      </c>
    </row>
    <row r="614" spans="1:4">
      <c r="A614" t="s">
        <v>1239</v>
      </c>
      <c r="B614" s="119" t="s">
        <v>1774</v>
      </c>
      <c r="C614" t="s">
        <v>721</v>
      </c>
      <c r="D614" t="s">
        <v>1239</v>
      </c>
    </row>
    <row r="615" spans="1:4">
      <c r="A615" t="s">
        <v>1240</v>
      </c>
      <c r="B615" s="119" t="s">
        <v>1354</v>
      </c>
      <c r="C615" t="s">
        <v>722</v>
      </c>
      <c r="D615" t="s">
        <v>1240</v>
      </c>
    </row>
    <row r="616" spans="1:4">
      <c r="A616" t="s">
        <v>1400</v>
      </c>
      <c r="B616" s="119" t="s">
        <v>1355</v>
      </c>
      <c r="C616" t="s">
        <v>723</v>
      </c>
      <c r="D616" t="s">
        <v>1400</v>
      </c>
    </row>
    <row r="617" spans="1:4">
      <c r="A617" t="s">
        <v>1401</v>
      </c>
      <c r="B617" s="119" t="s">
        <v>1356</v>
      </c>
      <c r="C617" t="s">
        <v>1356</v>
      </c>
      <c r="D617" t="s">
        <v>1401</v>
      </c>
    </row>
    <row r="618" spans="1:4">
      <c r="A618" t="s">
        <v>1241</v>
      </c>
      <c r="B618" s="119" t="s">
        <v>1357</v>
      </c>
      <c r="C618" t="s">
        <v>724</v>
      </c>
      <c r="D618" t="s">
        <v>1241</v>
      </c>
    </row>
    <row r="619" spans="1:4">
      <c r="A619" t="s">
        <v>1242</v>
      </c>
      <c r="B619" s="119" t="s">
        <v>1364</v>
      </c>
      <c r="C619" t="s">
        <v>725</v>
      </c>
      <c r="D619" t="s">
        <v>1242</v>
      </c>
    </row>
    <row r="620" spans="1:4">
      <c r="A620" s="2" t="s">
        <v>153</v>
      </c>
      <c r="B620" s="119" t="s">
        <v>1365</v>
      </c>
      <c r="C620" t="s">
        <v>726</v>
      </c>
      <c r="D620" s="2" t="s">
        <v>153</v>
      </c>
    </row>
    <row r="621" spans="1:4">
      <c r="A621" t="s">
        <v>155</v>
      </c>
      <c r="B621" s="119" t="s">
        <v>1366</v>
      </c>
      <c r="C621" t="s">
        <v>727</v>
      </c>
      <c r="D621" t="s">
        <v>155</v>
      </c>
    </row>
    <row r="622" spans="1:4">
      <c r="A622" t="s">
        <v>1517</v>
      </c>
      <c r="B622" t="s">
        <v>1233</v>
      </c>
      <c r="C622" t="s">
        <v>728</v>
      </c>
      <c r="D622" t="s">
        <v>1517</v>
      </c>
    </row>
    <row r="623" spans="1:4">
      <c r="A623" s="2" t="s">
        <v>793</v>
      </c>
      <c r="B623" t="s">
        <v>772</v>
      </c>
      <c r="C623" t="s">
        <v>729</v>
      </c>
      <c r="D623" s="2" t="s">
        <v>793</v>
      </c>
    </row>
    <row r="624" spans="1:4">
      <c r="A624" t="s">
        <v>1149</v>
      </c>
      <c r="B624" t="s">
        <v>1150</v>
      </c>
      <c r="C624" t="s">
        <v>730</v>
      </c>
      <c r="D624" t="s">
        <v>1149</v>
      </c>
    </row>
    <row r="625" spans="1:4">
      <c r="A625" t="s">
        <v>1152</v>
      </c>
      <c r="B625" t="s">
        <v>1153</v>
      </c>
      <c r="C625" t="s">
        <v>731</v>
      </c>
      <c r="D625" t="s">
        <v>1152</v>
      </c>
    </row>
    <row r="626" spans="1:4">
      <c r="A626" s="2" t="s">
        <v>1358</v>
      </c>
      <c r="B626" t="s">
        <v>1361</v>
      </c>
      <c r="C626" t="s">
        <v>732</v>
      </c>
      <c r="D626" s="2" t="s">
        <v>1358</v>
      </c>
    </row>
    <row r="627" spans="1:4">
      <c r="A627" s="2" t="s">
        <v>1359</v>
      </c>
      <c r="B627" t="s">
        <v>1362</v>
      </c>
      <c r="C627" t="s">
        <v>733</v>
      </c>
      <c r="D627" s="2" t="s">
        <v>1359</v>
      </c>
    </row>
    <row r="628" spans="1:4">
      <c r="A628" s="2" t="s">
        <v>1360</v>
      </c>
      <c r="B628" t="s">
        <v>1117</v>
      </c>
      <c r="C628" t="s">
        <v>734</v>
      </c>
      <c r="D628" s="2" t="s">
        <v>1360</v>
      </c>
    </row>
    <row r="629" spans="1:4">
      <c r="A629" s="2" t="s">
        <v>1834</v>
      </c>
      <c r="B629" t="s">
        <v>1116</v>
      </c>
      <c r="C629" t="s">
        <v>735</v>
      </c>
      <c r="D629" s="2" t="s">
        <v>1834</v>
      </c>
    </row>
    <row r="630" spans="1:4">
      <c r="A630" s="2" t="s">
        <v>940</v>
      </c>
      <c r="B630" t="s">
        <v>1119</v>
      </c>
      <c r="C630" t="s">
        <v>231</v>
      </c>
      <c r="D630" s="2" t="s">
        <v>940</v>
      </c>
    </row>
    <row r="631" spans="1:4">
      <c r="A631" s="2" t="s">
        <v>1829</v>
      </c>
      <c r="B631" t="s">
        <v>1363</v>
      </c>
      <c r="C631" t="s">
        <v>736</v>
      </c>
      <c r="D631" s="2" t="s">
        <v>1829</v>
      </c>
    </row>
    <row r="632" spans="1:4">
      <c r="A632" t="s">
        <v>1158</v>
      </c>
      <c r="B632" t="s">
        <v>1159</v>
      </c>
      <c r="C632" t="s">
        <v>737</v>
      </c>
      <c r="D632" t="s">
        <v>1158</v>
      </c>
    </row>
    <row r="633" spans="1:4">
      <c r="A633" s="2" t="s">
        <v>1161</v>
      </c>
      <c r="B633" t="s">
        <v>1162</v>
      </c>
      <c r="C633" t="s">
        <v>738</v>
      </c>
      <c r="D633" s="2" t="s">
        <v>1161</v>
      </c>
    </row>
    <row r="634" spans="1:4">
      <c r="A634" t="s">
        <v>864</v>
      </c>
      <c r="B634" t="s">
        <v>865</v>
      </c>
      <c r="C634" t="s">
        <v>690</v>
      </c>
      <c r="D634" t="s">
        <v>864</v>
      </c>
    </row>
    <row r="635" spans="1:4">
      <c r="A635" t="s">
        <v>1215</v>
      </c>
      <c r="B635" t="s">
        <v>1216</v>
      </c>
      <c r="C635" t="s">
        <v>1104</v>
      </c>
      <c r="D635" t="s">
        <v>1215</v>
      </c>
    </row>
    <row r="636" spans="1:4">
      <c r="A636" t="s">
        <v>1160</v>
      </c>
      <c r="B636" t="s">
        <v>1729</v>
      </c>
      <c r="C636" t="s">
        <v>1105</v>
      </c>
      <c r="D636" t="s">
        <v>1160</v>
      </c>
    </row>
    <row r="637" spans="1:4">
      <c r="A637" t="s">
        <v>200</v>
      </c>
      <c r="B637" t="s">
        <v>201</v>
      </c>
      <c r="C637" t="s">
        <v>1106</v>
      </c>
      <c r="D637" t="s">
        <v>200</v>
      </c>
    </row>
    <row r="638" spans="1:4">
      <c r="A638" t="s">
        <v>2147</v>
      </c>
      <c r="B638" t="s">
        <v>2055</v>
      </c>
      <c r="C638" t="s">
        <v>1107</v>
      </c>
      <c r="D638" t="s">
        <v>2147</v>
      </c>
    </row>
    <row r="639" spans="1:4">
      <c r="A639" t="s">
        <v>2148</v>
      </c>
      <c r="B639" t="s">
        <v>2056</v>
      </c>
      <c r="C639" t="s">
        <v>1108</v>
      </c>
      <c r="D639" t="s">
        <v>2148</v>
      </c>
    </row>
    <row r="640" spans="1:4">
      <c r="A640" t="s">
        <v>2144</v>
      </c>
      <c r="B640" t="s">
        <v>2057</v>
      </c>
      <c r="C640" t="s">
        <v>1109</v>
      </c>
      <c r="D640" t="s">
        <v>2144</v>
      </c>
    </row>
    <row r="641" spans="1:4">
      <c r="A641" t="s">
        <v>2145</v>
      </c>
      <c r="B641" t="s">
        <v>2058</v>
      </c>
      <c r="C641" t="s">
        <v>1110</v>
      </c>
      <c r="D641" t="s">
        <v>2145</v>
      </c>
    </row>
    <row r="642" spans="1:4">
      <c r="A642" t="s">
        <v>2149</v>
      </c>
      <c r="B642" t="s">
        <v>2059</v>
      </c>
      <c r="C642" t="s">
        <v>1111</v>
      </c>
      <c r="D642" t="s">
        <v>2149</v>
      </c>
    </row>
    <row r="643" spans="1:4">
      <c r="A643" t="s">
        <v>644</v>
      </c>
      <c r="B643" t="s">
        <v>783</v>
      </c>
      <c r="C643" t="s">
        <v>1180</v>
      </c>
      <c r="D643" t="s">
        <v>644</v>
      </c>
    </row>
    <row r="644" spans="1:4">
      <c r="A644" t="s">
        <v>207</v>
      </c>
      <c r="B644" t="s">
        <v>786</v>
      </c>
      <c r="C644" t="s">
        <v>1183</v>
      </c>
      <c r="D644" t="s">
        <v>207</v>
      </c>
    </row>
    <row r="645" spans="1:4">
      <c r="A645" t="s">
        <v>206</v>
      </c>
      <c r="B645" t="s">
        <v>784</v>
      </c>
      <c r="C645" t="s">
        <v>1181</v>
      </c>
      <c r="D645" t="s">
        <v>206</v>
      </c>
    </row>
    <row r="646" spans="1:4">
      <c r="A646" t="s">
        <v>2150</v>
      </c>
      <c r="B646" t="s">
        <v>787</v>
      </c>
      <c r="C646" t="s">
        <v>881</v>
      </c>
      <c r="D646" t="s">
        <v>2150</v>
      </c>
    </row>
    <row r="647" spans="1:4">
      <c r="A647" t="s">
        <v>2151</v>
      </c>
      <c r="B647" t="s">
        <v>2060</v>
      </c>
      <c r="C647" t="s">
        <v>1106</v>
      </c>
      <c r="D647" t="s">
        <v>2151</v>
      </c>
    </row>
    <row r="648" spans="1:4">
      <c r="A648" t="s">
        <v>2152</v>
      </c>
      <c r="B648" t="s">
        <v>2061</v>
      </c>
      <c r="C648" t="s">
        <v>882</v>
      </c>
      <c r="D648" t="s">
        <v>2152</v>
      </c>
    </row>
    <row r="649" spans="1:4">
      <c r="A649" t="s">
        <v>2153</v>
      </c>
      <c r="B649" t="s">
        <v>2062</v>
      </c>
      <c r="C649" t="s">
        <v>883</v>
      </c>
      <c r="D649" t="s">
        <v>2153</v>
      </c>
    </row>
    <row r="650" spans="1:4">
      <c r="A650" t="s">
        <v>21</v>
      </c>
      <c r="B650" t="s">
        <v>2063</v>
      </c>
      <c r="C650" t="s">
        <v>884</v>
      </c>
      <c r="D650" t="s">
        <v>21</v>
      </c>
    </row>
    <row r="651" spans="1:4">
      <c r="A651" t="s">
        <v>1964</v>
      </c>
      <c r="B651" t="s">
        <v>2064</v>
      </c>
      <c r="C651" t="s">
        <v>885</v>
      </c>
      <c r="D651" t="s">
        <v>1964</v>
      </c>
    </row>
    <row r="652" spans="1:4">
      <c r="A652" t="s">
        <v>1558</v>
      </c>
      <c r="B652" t="s">
        <v>399</v>
      </c>
      <c r="C652" t="s">
        <v>886</v>
      </c>
      <c r="D652" t="s">
        <v>1558</v>
      </c>
    </row>
    <row r="653" spans="1:4">
      <c r="A653" t="s">
        <v>1965</v>
      </c>
      <c r="B653" t="s">
        <v>400</v>
      </c>
      <c r="C653" t="s">
        <v>887</v>
      </c>
      <c r="D653" t="s">
        <v>1965</v>
      </c>
    </row>
    <row r="654" spans="1:4">
      <c r="A654" t="s">
        <v>832</v>
      </c>
      <c r="B654" t="s">
        <v>401</v>
      </c>
      <c r="C654" t="s">
        <v>888</v>
      </c>
      <c r="D654" t="s">
        <v>832</v>
      </c>
    </row>
    <row r="655" spans="1:4">
      <c r="A655" t="s">
        <v>1156</v>
      </c>
      <c r="B655" t="s">
        <v>402</v>
      </c>
      <c r="C655" t="s">
        <v>889</v>
      </c>
      <c r="D655" t="s">
        <v>1156</v>
      </c>
    </row>
    <row r="656" spans="1:4">
      <c r="A656" t="s">
        <v>1154</v>
      </c>
      <c r="B656" t="s">
        <v>403</v>
      </c>
      <c r="C656" t="s">
        <v>890</v>
      </c>
      <c r="D656" t="s">
        <v>1154</v>
      </c>
    </row>
    <row r="657" spans="1:4">
      <c r="A657" t="s">
        <v>1155</v>
      </c>
      <c r="B657" t="s">
        <v>404</v>
      </c>
      <c r="C657" t="s">
        <v>891</v>
      </c>
      <c r="D657" t="s">
        <v>1155</v>
      </c>
    </row>
    <row r="658" spans="1:4">
      <c r="A658" t="s">
        <v>1157</v>
      </c>
      <c r="B658" t="s">
        <v>405</v>
      </c>
      <c r="C658" t="s">
        <v>892</v>
      </c>
      <c r="D658" t="s">
        <v>1157</v>
      </c>
    </row>
    <row r="659" spans="1:4">
      <c r="A659" t="s">
        <v>2146</v>
      </c>
      <c r="B659" t="s">
        <v>406</v>
      </c>
      <c r="C659" t="s">
        <v>893</v>
      </c>
      <c r="D659" t="s">
        <v>2146</v>
      </c>
    </row>
    <row r="660" spans="1:4">
      <c r="A660" t="s">
        <v>242</v>
      </c>
      <c r="B660" t="s">
        <v>407</v>
      </c>
      <c r="C660" t="s">
        <v>894</v>
      </c>
      <c r="D660" t="s">
        <v>242</v>
      </c>
    </row>
    <row r="661" spans="1:4">
      <c r="A661" t="s">
        <v>243</v>
      </c>
      <c r="B661" t="s">
        <v>408</v>
      </c>
      <c r="C661" t="s">
        <v>895</v>
      </c>
      <c r="D661" t="s">
        <v>243</v>
      </c>
    </row>
    <row r="662" spans="1:4">
      <c r="A662" t="s">
        <v>244</v>
      </c>
      <c r="B662" t="s">
        <v>1734</v>
      </c>
      <c r="C662" t="s">
        <v>896</v>
      </c>
      <c r="D662" t="s">
        <v>244</v>
      </c>
    </row>
    <row r="663" spans="1:4">
      <c r="A663" t="s">
        <v>245</v>
      </c>
      <c r="B663" t="s">
        <v>409</v>
      </c>
      <c r="C663" t="s">
        <v>897</v>
      </c>
      <c r="D663" t="s">
        <v>245</v>
      </c>
    </row>
    <row r="664" spans="1:4">
      <c r="A664" t="s">
        <v>1237</v>
      </c>
      <c r="B664" t="s">
        <v>1393</v>
      </c>
      <c r="C664" t="s">
        <v>719</v>
      </c>
      <c r="D664" t="s">
        <v>1237</v>
      </c>
    </row>
    <row r="665" spans="1:4">
      <c r="A665" t="s">
        <v>240</v>
      </c>
      <c r="B665" t="s">
        <v>1803</v>
      </c>
      <c r="C665" t="s">
        <v>898</v>
      </c>
      <c r="D665" t="s">
        <v>240</v>
      </c>
    </row>
    <row r="666" spans="1:4">
      <c r="A666" t="s">
        <v>2326</v>
      </c>
      <c r="B666" t="s">
        <v>2185</v>
      </c>
      <c r="C666" t="s">
        <v>899</v>
      </c>
      <c r="D666" t="s">
        <v>2326</v>
      </c>
    </row>
    <row r="667" spans="1:4">
      <c r="A667" t="s">
        <v>2327</v>
      </c>
      <c r="B667" t="s">
        <v>2186</v>
      </c>
      <c r="C667" t="s">
        <v>900</v>
      </c>
      <c r="D667" t="s">
        <v>2327</v>
      </c>
    </row>
    <row r="668" spans="1:4">
      <c r="A668" t="s">
        <v>2074</v>
      </c>
      <c r="B668" t="s">
        <v>2222</v>
      </c>
      <c r="C668" t="s">
        <v>901</v>
      </c>
      <c r="D668" t="s">
        <v>2074</v>
      </c>
    </row>
    <row r="669" spans="1:4">
      <c r="A669" t="s">
        <v>324</v>
      </c>
      <c r="B669" t="s">
        <v>2223</v>
      </c>
      <c r="C669" t="s">
        <v>902</v>
      </c>
      <c r="D669" t="s">
        <v>324</v>
      </c>
    </row>
    <row r="670" spans="1:4">
      <c r="A670" t="s">
        <v>1318</v>
      </c>
      <c r="B670" t="s">
        <v>2224</v>
      </c>
      <c r="C670" t="s">
        <v>903</v>
      </c>
      <c r="D670" t="s">
        <v>1318</v>
      </c>
    </row>
    <row r="671" spans="1:4">
      <c r="A671" t="s">
        <v>1073</v>
      </c>
      <c r="B671" t="s">
        <v>1077</v>
      </c>
      <c r="C671" t="s">
        <v>904</v>
      </c>
      <c r="D671" t="s">
        <v>1073</v>
      </c>
    </row>
    <row r="672" spans="1:4">
      <c r="A672" t="s">
        <v>1072</v>
      </c>
      <c r="B672" t="s">
        <v>1076</v>
      </c>
      <c r="C672" t="s">
        <v>1195</v>
      </c>
      <c r="D672" t="s">
        <v>1072</v>
      </c>
    </row>
    <row r="673" spans="1:4">
      <c r="A673" t="s">
        <v>705</v>
      </c>
      <c r="B673" t="s">
        <v>2225</v>
      </c>
      <c r="C673" t="s">
        <v>905</v>
      </c>
      <c r="D673" t="s">
        <v>705</v>
      </c>
    </row>
    <row r="674" spans="1:4">
      <c r="A674" t="s">
        <v>2132</v>
      </c>
      <c r="B674" t="s">
        <v>2226</v>
      </c>
      <c r="C674" t="s">
        <v>906</v>
      </c>
      <c r="D674" t="s">
        <v>2132</v>
      </c>
    </row>
    <row r="675" spans="1:4">
      <c r="A675" t="s">
        <v>2167</v>
      </c>
      <c r="B675" t="s">
        <v>2227</v>
      </c>
      <c r="C675" t="s">
        <v>907</v>
      </c>
      <c r="D675" t="s">
        <v>2167</v>
      </c>
    </row>
    <row r="676" spans="1:4">
      <c r="A676" t="s">
        <v>2168</v>
      </c>
      <c r="B676" t="s">
        <v>2228</v>
      </c>
      <c r="C676" t="s">
        <v>908</v>
      </c>
      <c r="D676" t="s">
        <v>2168</v>
      </c>
    </row>
    <row r="677" spans="1:4">
      <c r="A677" t="s">
        <v>1581</v>
      </c>
      <c r="B677" t="s">
        <v>1603</v>
      </c>
      <c r="C677" t="s">
        <v>909</v>
      </c>
      <c r="D677" t="s">
        <v>1581</v>
      </c>
    </row>
    <row r="678" spans="1:4">
      <c r="A678" t="s">
        <v>156</v>
      </c>
      <c r="B678" t="s">
        <v>1604</v>
      </c>
      <c r="C678" t="s">
        <v>910</v>
      </c>
      <c r="D678" t="s">
        <v>156</v>
      </c>
    </row>
    <row r="679" spans="1:4">
      <c r="A679" t="s">
        <v>157</v>
      </c>
      <c r="B679" t="s">
        <v>1605</v>
      </c>
      <c r="C679" t="s">
        <v>2352</v>
      </c>
      <c r="D679" t="s">
        <v>157</v>
      </c>
    </row>
    <row r="680" spans="1:4">
      <c r="A680" t="s">
        <v>158</v>
      </c>
      <c r="B680" t="s">
        <v>1606</v>
      </c>
      <c r="C680" t="s">
        <v>911</v>
      </c>
      <c r="D680" t="s">
        <v>158</v>
      </c>
    </row>
    <row r="681" spans="1:4">
      <c r="A681" t="s">
        <v>377</v>
      </c>
      <c r="B681" t="s">
        <v>462</v>
      </c>
      <c r="C681" t="s">
        <v>912</v>
      </c>
      <c r="D681" t="s">
        <v>377</v>
      </c>
    </row>
    <row r="682" spans="1:4">
      <c r="A682" t="s">
        <v>1548</v>
      </c>
      <c r="B682" t="s">
        <v>1607</v>
      </c>
      <c r="C682" t="s">
        <v>913</v>
      </c>
      <c r="D682" t="s">
        <v>1548</v>
      </c>
    </row>
    <row r="683" spans="1:4">
      <c r="A683" t="s">
        <v>1779</v>
      </c>
      <c r="B683" t="s">
        <v>1608</v>
      </c>
      <c r="C683" t="s">
        <v>914</v>
      </c>
      <c r="D683" t="s">
        <v>1779</v>
      </c>
    </row>
    <row r="684" spans="1:4">
      <c r="A684" t="s">
        <v>1780</v>
      </c>
      <c r="B684" t="s">
        <v>1609</v>
      </c>
      <c r="C684" t="s">
        <v>915</v>
      </c>
      <c r="D684" t="s">
        <v>1780</v>
      </c>
    </row>
    <row r="685" spans="1:4">
      <c r="A685" t="s">
        <v>1781</v>
      </c>
      <c r="B685" t="s">
        <v>1610</v>
      </c>
      <c r="C685" t="s">
        <v>556</v>
      </c>
      <c r="D685" t="s">
        <v>1781</v>
      </c>
    </row>
    <row r="686" spans="1:4">
      <c r="A686" t="s">
        <v>1782</v>
      </c>
      <c r="B686" t="s">
        <v>1612</v>
      </c>
      <c r="C686" t="s">
        <v>557</v>
      </c>
      <c r="D686" t="s">
        <v>1782</v>
      </c>
    </row>
    <row r="687" spans="1:4">
      <c r="A687" t="s">
        <v>1783</v>
      </c>
      <c r="B687" t="s">
        <v>1720</v>
      </c>
      <c r="C687" t="s">
        <v>558</v>
      </c>
      <c r="D687" t="s">
        <v>1783</v>
      </c>
    </row>
    <row r="688" spans="1:4">
      <c r="A688" t="s">
        <v>1784</v>
      </c>
      <c r="B688" t="s">
        <v>174</v>
      </c>
      <c r="C688" t="s">
        <v>559</v>
      </c>
      <c r="D688" t="s">
        <v>1784</v>
      </c>
    </row>
    <row r="689" spans="1:4">
      <c r="A689" t="s">
        <v>1785</v>
      </c>
      <c r="B689" t="s">
        <v>1613</v>
      </c>
      <c r="C689" t="s">
        <v>560</v>
      </c>
      <c r="D689" t="s">
        <v>1785</v>
      </c>
    </row>
    <row r="690" spans="1:4">
      <c r="A690" t="s">
        <v>1786</v>
      </c>
      <c r="B690" t="s">
        <v>1611</v>
      </c>
      <c r="C690" t="s">
        <v>916</v>
      </c>
      <c r="D690" t="s">
        <v>1786</v>
      </c>
    </row>
    <row r="691" spans="1:4">
      <c r="A691" t="s">
        <v>1787</v>
      </c>
      <c r="B691" t="s">
        <v>1617</v>
      </c>
      <c r="C691" t="s">
        <v>917</v>
      </c>
      <c r="D691" t="s">
        <v>1787</v>
      </c>
    </row>
    <row r="692" spans="1:4">
      <c r="A692" t="s">
        <v>1788</v>
      </c>
      <c r="B692" t="s">
        <v>1614</v>
      </c>
      <c r="C692" t="s">
        <v>918</v>
      </c>
      <c r="D692" t="s">
        <v>1788</v>
      </c>
    </row>
    <row r="693" spans="1:4">
      <c r="A693" t="s">
        <v>1789</v>
      </c>
      <c r="B693" t="s">
        <v>172</v>
      </c>
      <c r="C693" t="s">
        <v>1441</v>
      </c>
      <c r="D693" t="s">
        <v>1789</v>
      </c>
    </row>
    <row r="694" spans="1:4">
      <c r="A694" t="s">
        <v>1790</v>
      </c>
      <c r="B694" t="s">
        <v>1615</v>
      </c>
      <c r="C694" t="s">
        <v>1442</v>
      </c>
      <c r="D694" t="s">
        <v>1790</v>
      </c>
    </row>
    <row r="695" spans="1:4">
      <c r="A695" t="s">
        <v>1791</v>
      </c>
      <c r="B695" t="s">
        <v>1616</v>
      </c>
      <c r="C695" t="s">
        <v>1443</v>
      </c>
      <c r="D695" t="s">
        <v>1791</v>
      </c>
    </row>
    <row r="696" spans="1:4">
      <c r="A696" t="s">
        <v>1792</v>
      </c>
      <c r="B696" t="s">
        <v>1618</v>
      </c>
      <c r="C696" t="s">
        <v>1444</v>
      </c>
      <c r="D696" t="s">
        <v>1792</v>
      </c>
    </row>
    <row r="697" spans="1:4">
      <c r="A697" t="s">
        <v>1793</v>
      </c>
      <c r="B697" t="s">
        <v>1861</v>
      </c>
      <c r="C697" t="s">
        <v>1445</v>
      </c>
      <c r="D697" t="s">
        <v>1793</v>
      </c>
    </row>
    <row r="698" spans="1:4">
      <c r="A698" t="s">
        <v>1794</v>
      </c>
      <c r="B698" t="s">
        <v>1871</v>
      </c>
      <c r="C698" t="s">
        <v>1446</v>
      </c>
      <c r="D698" t="s">
        <v>1794</v>
      </c>
    </row>
    <row r="699" spans="1:4">
      <c r="A699" t="s">
        <v>1795</v>
      </c>
      <c r="B699" t="s">
        <v>1872</v>
      </c>
      <c r="C699" t="s">
        <v>1447</v>
      </c>
      <c r="D699" t="s">
        <v>1795</v>
      </c>
    </row>
    <row r="700" spans="1:4">
      <c r="A700" t="s">
        <v>1796</v>
      </c>
      <c r="B700" t="s">
        <v>1873</v>
      </c>
      <c r="C700" t="s">
        <v>1448</v>
      </c>
      <c r="D700" t="s">
        <v>1796</v>
      </c>
    </row>
    <row r="701" spans="1:4">
      <c r="A701" t="s">
        <v>1797</v>
      </c>
      <c r="B701" t="s">
        <v>1874</v>
      </c>
      <c r="C701" t="s">
        <v>1449</v>
      </c>
      <c r="D701" t="s">
        <v>1797</v>
      </c>
    </row>
    <row r="702" spans="1:4">
      <c r="A702" t="s">
        <v>1619</v>
      </c>
      <c r="B702" t="s">
        <v>1875</v>
      </c>
      <c r="C702" t="s">
        <v>1450</v>
      </c>
      <c r="D702" t="s">
        <v>1619</v>
      </c>
    </row>
    <row r="703" spans="1:4">
      <c r="A703" t="s">
        <v>1620</v>
      </c>
      <c r="B703" t="s">
        <v>1876</v>
      </c>
      <c r="C703" t="s">
        <v>1451</v>
      </c>
      <c r="D703" t="s">
        <v>1620</v>
      </c>
    </row>
    <row r="704" spans="1:4">
      <c r="A704" t="s">
        <v>1621</v>
      </c>
      <c r="B704" t="s">
        <v>1716</v>
      </c>
      <c r="C704" t="s">
        <v>1452</v>
      </c>
      <c r="D704" t="s">
        <v>1621</v>
      </c>
    </row>
    <row r="705" spans="1:4">
      <c r="A705" t="s">
        <v>1622</v>
      </c>
      <c r="B705" t="s">
        <v>1877</v>
      </c>
      <c r="C705" t="s">
        <v>1453</v>
      </c>
      <c r="D705" t="s">
        <v>1622</v>
      </c>
    </row>
    <row r="706" spans="1:4">
      <c r="A706" t="s">
        <v>1623</v>
      </c>
      <c r="B706" t="s">
        <v>1878</v>
      </c>
      <c r="C706" t="s">
        <v>1454</v>
      </c>
      <c r="D706" t="s">
        <v>1623</v>
      </c>
    </row>
    <row r="707" spans="1:4">
      <c r="A707" t="s">
        <v>1936</v>
      </c>
      <c r="B707" t="s">
        <v>1870</v>
      </c>
      <c r="C707" t="s">
        <v>1455</v>
      </c>
      <c r="D707" t="s">
        <v>1936</v>
      </c>
    </row>
    <row r="708" spans="1:4">
      <c r="A708" t="s">
        <v>1623</v>
      </c>
      <c r="B708" t="s">
        <v>1879</v>
      </c>
      <c r="C708" t="s">
        <v>1454</v>
      </c>
      <c r="D708" t="s">
        <v>1623</v>
      </c>
    </row>
    <row r="709" spans="1:4">
      <c r="A709" t="s">
        <v>1624</v>
      </c>
      <c r="B709" t="s">
        <v>1880</v>
      </c>
      <c r="C709" t="s">
        <v>1456</v>
      </c>
      <c r="D709" t="s">
        <v>1624</v>
      </c>
    </row>
    <row r="710" spans="1:4">
      <c r="A710" t="s">
        <v>1625</v>
      </c>
      <c r="B710" t="s">
        <v>141</v>
      </c>
      <c r="C710" t="s">
        <v>493</v>
      </c>
      <c r="D710" t="s">
        <v>1625</v>
      </c>
    </row>
    <row r="711" spans="1:4">
      <c r="A711" t="s">
        <v>1949</v>
      </c>
      <c r="B711" t="s">
        <v>1881</v>
      </c>
      <c r="C711" t="s">
        <v>1457</v>
      </c>
      <c r="D711" t="s">
        <v>1949</v>
      </c>
    </row>
    <row r="712" spans="1:4">
      <c r="A712" t="s">
        <v>1626</v>
      </c>
      <c r="B712" t="s">
        <v>1719</v>
      </c>
      <c r="C712" t="s">
        <v>1458</v>
      </c>
      <c r="D712" t="s">
        <v>1626</v>
      </c>
    </row>
    <row r="713" spans="1:4">
      <c r="A713" t="s">
        <v>70</v>
      </c>
      <c r="B713" t="s">
        <v>1863</v>
      </c>
      <c r="C713" t="s">
        <v>492</v>
      </c>
      <c r="D713" t="s">
        <v>70</v>
      </c>
    </row>
    <row r="714" spans="1:4">
      <c r="A714" t="s">
        <v>1627</v>
      </c>
      <c r="B714" t="s">
        <v>1864</v>
      </c>
      <c r="C714" t="s">
        <v>1459</v>
      </c>
      <c r="D714" t="s">
        <v>1627</v>
      </c>
    </row>
    <row r="715" spans="1:4">
      <c r="A715" t="s">
        <v>1628</v>
      </c>
      <c r="B715" t="s">
        <v>1865</v>
      </c>
      <c r="C715" t="s">
        <v>1460</v>
      </c>
      <c r="D715" t="s">
        <v>1628</v>
      </c>
    </row>
    <row r="716" spans="1:4">
      <c r="A716" t="s">
        <v>1629</v>
      </c>
      <c r="B716" t="s">
        <v>1882</v>
      </c>
      <c r="C716" t="s">
        <v>1461</v>
      </c>
      <c r="D716" t="s">
        <v>1629</v>
      </c>
    </row>
    <row r="717" spans="1:4">
      <c r="A717" t="s">
        <v>1630</v>
      </c>
      <c r="B717" t="s">
        <v>1883</v>
      </c>
      <c r="C717" t="s">
        <v>1462</v>
      </c>
      <c r="D717" t="s">
        <v>1630</v>
      </c>
    </row>
    <row r="718" spans="1:4">
      <c r="A718" t="s">
        <v>1253</v>
      </c>
      <c r="B718" t="s">
        <v>1884</v>
      </c>
      <c r="C718" t="s">
        <v>1463</v>
      </c>
      <c r="D718" t="s">
        <v>1253</v>
      </c>
    </row>
    <row r="719" spans="1:4">
      <c r="A719" t="s">
        <v>1254</v>
      </c>
      <c r="B719" t="s">
        <v>1885</v>
      </c>
      <c r="C719" t="s">
        <v>1464</v>
      </c>
      <c r="D719" t="s">
        <v>1254</v>
      </c>
    </row>
    <row r="720" spans="1:4">
      <c r="A720" t="s">
        <v>1792</v>
      </c>
      <c r="B720" t="s">
        <v>1869</v>
      </c>
      <c r="C720" t="s">
        <v>1444</v>
      </c>
      <c r="D720" t="s">
        <v>1792</v>
      </c>
    </row>
    <row r="721" spans="1:4">
      <c r="A721" t="s">
        <v>1255</v>
      </c>
      <c r="B721" t="s">
        <v>1886</v>
      </c>
      <c r="C721" t="s">
        <v>1465</v>
      </c>
      <c r="D721" t="s">
        <v>1255</v>
      </c>
    </row>
    <row r="722" spans="1:4">
      <c r="A722" t="s">
        <v>1256</v>
      </c>
      <c r="B722" t="s">
        <v>1887</v>
      </c>
      <c r="C722" t="s">
        <v>1466</v>
      </c>
      <c r="D722" t="s">
        <v>1256</v>
      </c>
    </row>
    <row r="723" spans="1:4">
      <c r="A723" t="s">
        <v>1257</v>
      </c>
      <c r="B723" t="s">
        <v>1888</v>
      </c>
      <c r="C723" t="s">
        <v>1467</v>
      </c>
      <c r="D723" t="s">
        <v>1257</v>
      </c>
    </row>
    <row r="724" spans="1:4">
      <c r="A724" t="s">
        <v>1258</v>
      </c>
      <c r="B724" t="s">
        <v>1866</v>
      </c>
      <c r="C724" t="s">
        <v>1468</v>
      </c>
      <c r="D724" t="s">
        <v>1258</v>
      </c>
    </row>
    <row r="725" spans="1:4">
      <c r="A725" t="s">
        <v>1259</v>
      </c>
      <c r="B725" t="s">
        <v>1867</v>
      </c>
      <c r="C725" t="s">
        <v>1469</v>
      </c>
      <c r="D725" t="s">
        <v>1259</v>
      </c>
    </row>
    <row r="726" spans="1:4">
      <c r="A726" t="s">
        <v>1260</v>
      </c>
      <c r="B726" t="s">
        <v>1868</v>
      </c>
      <c r="C726" t="s">
        <v>1470</v>
      </c>
      <c r="D726" t="s">
        <v>1260</v>
      </c>
    </row>
    <row r="727" spans="1:4">
      <c r="A727" t="s">
        <v>1261</v>
      </c>
      <c r="B727" t="s">
        <v>1889</v>
      </c>
      <c r="C727" t="s">
        <v>1471</v>
      </c>
      <c r="D727" t="s">
        <v>1261</v>
      </c>
    </row>
    <row r="728" spans="1:4">
      <c r="A728" t="s">
        <v>19</v>
      </c>
      <c r="B728" t="s">
        <v>1890</v>
      </c>
      <c r="C728" t="s">
        <v>1472</v>
      </c>
      <c r="D728" t="s">
        <v>19</v>
      </c>
    </row>
    <row r="729" spans="1:4">
      <c r="A729" t="s">
        <v>20</v>
      </c>
      <c r="B729" t="s">
        <v>1891</v>
      </c>
      <c r="C729" t="s">
        <v>1473</v>
      </c>
      <c r="D729" t="s">
        <v>20</v>
      </c>
    </row>
    <row r="730" spans="1:4">
      <c r="A730" t="s">
        <v>313</v>
      </c>
      <c r="B730" t="s">
        <v>1892</v>
      </c>
      <c r="C730" t="s">
        <v>1474</v>
      </c>
      <c r="D730" t="s">
        <v>313</v>
      </c>
    </row>
    <row r="731" spans="1:4">
      <c r="A731" t="s">
        <v>1260</v>
      </c>
      <c r="B731" t="s">
        <v>1868</v>
      </c>
      <c r="C731" t="s">
        <v>1475</v>
      </c>
      <c r="D731" t="s">
        <v>1260</v>
      </c>
    </row>
    <row r="732" spans="1:4">
      <c r="A732" t="s">
        <v>1572</v>
      </c>
      <c r="B732" t="s">
        <v>1893</v>
      </c>
      <c r="C732" t="s">
        <v>1476</v>
      </c>
      <c r="D732" t="s">
        <v>1572</v>
      </c>
    </row>
    <row r="733" spans="1:4">
      <c r="A733" t="s">
        <v>1792</v>
      </c>
      <c r="B733" t="s">
        <v>1862</v>
      </c>
      <c r="C733" t="s">
        <v>1444</v>
      </c>
      <c r="D733" t="s">
        <v>1792</v>
      </c>
    </row>
    <row r="734" spans="1:4">
      <c r="A734" t="s">
        <v>314</v>
      </c>
      <c r="B734" t="s">
        <v>1631</v>
      </c>
      <c r="C734" t="s">
        <v>1477</v>
      </c>
      <c r="D734" t="s">
        <v>314</v>
      </c>
    </row>
    <row r="735" spans="1:4">
      <c r="A735" t="s">
        <v>315</v>
      </c>
      <c r="B735" t="s">
        <v>1632</v>
      </c>
      <c r="C735" t="s">
        <v>1478</v>
      </c>
      <c r="D735" t="s">
        <v>315</v>
      </c>
    </row>
    <row r="736" spans="1:4">
      <c r="A736" t="s">
        <v>316</v>
      </c>
      <c r="B736" t="s">
        <v>1633</v>
      </c>
      <c r="C736" t="s">
        <v>1479</v>
      </c>
      <c r="D736" t="s">
        <v>316</v>
      </c>
    </row>
    <row r="737" spans="1:4">
      <c r="A737" t="s">
        <v>317</v>
      </c>
      <c r="B737" t="s">
        <v>1634</v>
      </c>
      <c r="C737" t="s">
        <v>598</v>
      </c>
      <c r="D737" t="s">
        <v>317</v>
      </c>
    </row>
    <row r="738" spans="1:4">
      <c r="A738" t="s">
        <v>318</v>
      </c>
      <c r="B738" t="s">
        <v>1635</v>
      </c>
      <c r="C738" t="s">
        <v>599</v>
      </c>
      <c r="D738" t="s">
        <v>318</v>
      </c>
    </row>
    <row r="739" spans="1:4">
      <c r="A739" t="s">
        <v>319</v>
      </c>
      <c r="B739" t="s">
        <v>1637</v>
      </c>
      <c r="C739" t="s">
        <v>600</v>
      </c>
      <c r="D739" t="s">
        <v>319</v>
      </c>
    </row>
    <row r="740" spans="1:4">
      <c r="A740" t="s">
        <v>320</v>
      </c>
      <c r="B740" t="s">
        <v>1638</v>
      </c>
      <c r="C740" t="s">
        <v>601</v>
      </c>
      <c r="D740" t="s">
        <v>320</v>
      </c>
    </row>
    <row r="741" spans="1:4">
      <c r="A741" t="s">
        <v>321</v>
      </c>
      <c r="B741" t="s">
        <v>1639</v>
      </c>
      <c r="C741" t="s">
        <v>602</v>
      </c>
      <c r="D741" t="s">
        <v>321</v>
      </c>
    </row>
    <row r="742" spans="1:4">
      <c r="A742" t="s">
        <v>322</v>
      </c>
      <c r="B742" t="s">
        <v>398</v>
      </c>
      <c r="C742" t="s">
        <v>580</v>
      </c>
      <c r="D742" t="s">
        <v>322</v>
      </c>
    </row>
    <row r="743" spans="1:4">
      <c r="A743" t="s">
        <v>323</v>
      </c>
      <c r="B743" t="s">
        <v>1545</v>
      </c>
      <c r="C743" t="s">
        <v>603</v>
      </c>
      <c r="D743" t="s">
        <v>323</v>
      </c>
    </row>
    <row r="744" spans="1:4">
      <c r="A744" t="s">
        <v>70</v>
      </c>
      <c r="B744" t="s">
        <v>1636</v>
      </c>
      <c r="C744" t="s">
        <v>492</v>
      </c>
      <c r="D744" t="s">
        <v>70</v>
      </c>
    </row>
    <row r="745" spans="1:4">
      <c r="A745" t="s">
        <v>160</v>
      </c>
      <c r="B745" t="s">
        <v>1640</v>
      </c>
      <c r="C745" t="s">
        <v>1125</v>
      </c>
      <c r="D745" t="s">
        <v>160</v>
      </c>
    </row>
    <row r="746" spans="1:4">
      <c r="A746" t="s">
        <v>325</v>
      </c>
      <c r="B746" t="s">
        <v>0</v>
      </c>
      <c r="C746" t="s">
        <v>1126</v>
      </c>
      <c r="D746" t="s">
        <v>325</v>
      </c>
    </row>
    <row r="747" spans="1:4">
      <c r="A747" t="s">
        <v>1493</v>
      </c>
      <c r="B747" t="s">
        <v>1641</v>
      </c>
      <c r="C747" t="s">
        <v>508</v>
      </c>
      <c r="D747" t="s">
        <v>1493</v>
      </c>
    </row>
    <row r="748" spans="1:4">
      <c r="A748" t="s">
        <v>326</v>
      </c>
      <c r="B748" t="s">
        <v>1642</v>
      </c>
      <c r="C748" t="s">
        <v>1127</v>
      </c>
      <c r="D748" t="s">
        <v>326</v>
      </c>
    </row>
    <row r="749" spans="1:4">
      <c r="A749" t="s">
        <v>954</v>
      </c>
      <c r="B749" t="s">
        <v>301</v>
      </c>
      <c r="C749" t="s">
        <v>1128</v>
      </c>
      <c r="D749" t="s">
        <v>954</v>
      </c>
    </row>
    <row r="750" spans="1:4">
      <c r="A750" t="s">
        <v>2311</v>
      </c>
      <c r="B750" t="s">
        <v>1643</v>
      </c>
      <c r="C750" t="s">
        <v>191</v>
      </c>
      <c r="D750" t="s">
        <v>2311</v>
      </c>
    </row>
    <row r="751" spans="1:4">
      <c r="A751" t="s">
        <v>327</v>
      </c>
      <c r="B751" t="s">
        <v>1644</v>
      </c>
      <c r="C751" t="s">
        <v>190</v>
      </c>
      <c r="D751" t="s">
        <v>327</v>
      </c>
    </row>
    <row r="752" spans="1:4">
      <c r="A752" t="s">
        <v>955</v>
      </c>
      <c r="B752" t="s">
        <v>1645</v>
      </c>
      <c r="C752" t="s">
        <v>519</v>
      </c>
      <c r="D752" t="s">
        <v>955</v>
      </c>
    </row>
    <row r="753" spans="1:4">
      <c r="A753" t="s">
        <v>328</v>
      </c>
      <c r="B753" t="s">
        <v>1646</v>
      </c>
      <c r="C753" t="s">
        <v>1129</v>
      </c>
      <c r="D753" t="s">
        <v>328</v>
      </c>
    </row>
    <row r="754" spans="1:4">
      <c r="A754" t="s">
        <v>329</v>
      </c>
      <c r="B754" t="s">
        <v>1647</v>
      </c>
      <c r="C754" t="s">
        <v>1130</v>
      </c>
      <c r="D754" t="s">
        <v>329</v>
      </c>
    </row>
    <row r="755" spans="1:4">
      <c r="A755" t="s">
        <v>330</v>
      </c>
      <c r="B755" t="s">
        <v>1335</v>
      </c>
      <c r="C755" t="s">
        <v>1131</v>
      </c>
      <c r="D755" t="s">
        <v>330</v>
      </c>
    </row>
    <row r="756" spans="1:4">
      <c r="A756" t="s">
        <v>331</v>
      </c>
      <c r="B756" t="s">
        <v>1336</v>
      </c>
      <c r="C756" t="s">
        <v>1132</v>
      </c>
      <c r="D756" t="s">
        <v>331</v>
      </c>
    </row>
    <row r="757" spans="1:4">
      <c r="A757" t="s">
        <v>333</v>
      </c>
      <c r="B757" t="s">
        <v>1337</v>
      </c>
      <c r="C757" t="s">
        <v>1133</v>
      </c>
      <c r="D757" t="s">
        <v>333</v>
      </c>
    </row>
    <row r="758" spans="1:4">
      <c r="A758" t="s">
        <v>334</v>
      </c>
      <c r="B758" t="s">
        <v>1344</v>
      </c>
      <c r="C758" t="s">
        <v>1134</v>
      </c>
      <c r="D758" t="s">
        <v>334</v>
      </c>
    </row>
    <row r="759" spans="1:4">
      <c r="A759" t="s">
        <v>335</v>
      </c>
      <c r="B759" t="s">
        <v>1345</v>
      </c>
      <c r="C759" t="s">
        <v>1135</v>
      </c>
      <c r="D759" t="s">
        <v>335</v>
      </c>
    </row>
    <row r="760" spans="1:4">
      <c r="A760" t="s">
        <v>336</v>
      </c>
      <c r="B760" t="s">
        <v>1346</v>
      </c>
      <c r="C760" t="s">
        <v>1136</v>
      </c>
      <c r="D760" t="s">
        <v>336</v>
      </c>
    </row>
    <row r="761" spans="1:4">
      <c r="A761" t="s">
        <v>337</v>
      </c>
      <c r="B761" t="s">
        <v>347</v>
      </c>
      <c r="C761" t="s">
        <v>1137</v>
      </c>
      <c r="D761" t="s">
        <v>337</v>
      </c>
    </row>
    <row r="762" spans="1:4">
      <c r="A762" t="s">
        <v>1787</v>
      </c>
      <c r="B762" t="s">
        <v>1347</v>
      </c>
      <c r="C762" t="s">
        <v>1138</v>
      </c>
      <c r="D762" t="s">
        <v>1787</v>
      </c>
    </row>
    <row r="763" spans="1:4">
      <c r="A763" t="s">
        <v>1261</v>
      </c>
      <c r="B763" t="s">
        <v>1889</v>
      </c>
      <c r="C763" t="s">
        <v>1139</v>
      </c>
      <c r="D763" t="s">
        <v>1261</v>
      </c>
    </row>
    <row r="764" spans="1:4">
      <c r="A764" t="s">
        <v>338</v>
      </c>
      <c r="B764" t="s">
        <v>1348</v>
      </c>
      <c r="C764" t="s">
        <v>1140</v>
      </c>
      <c r="D764" t="s">
        <v>338</v>
      </c>
    </row>
    <row r="765" spans="1:4">
      <c r="A765" t="s">
        <v>339</v>
      </c>
      <c r="B765" t="s">
        <v>349</v>
      </c>
      <c r="C765" t="s">
        <v>1141</v>
      </c>
      <c r="D765" t="s">
        <v>339</v>
      </c>
    </row>
    <row r="766" spans="1:4">
      <c r="A766" t="s">
        <v>161</v>
      </c>
      <c r="B766" t="s">
        <v>1</v>
      </c>
      <c r="C766" t="s">
        <v>1142</v>
      </c>
      <c r="D766" t="s">
        <v>161</v>
      </c>
    </row>
    <row r="767" spans="1:4">
      <c r="A767" t="s">
        <v>162</v>
      </c>
      <c r="B767" t="s">
        <v>3</v>
      </c>
      <c r="C767" t="s">
        <v>1143</v>
      </c>
      <c r="D767" t="s">
        <v>162</v>
      </c>
    </row>
    <row r="768" spans="1:4">
      <c r="A768" t="s">
        <v>163</v>
      </c>
      <c r="B768" t="s">
        <v>2</v>
      </c>
      <c r="C768" t="s">
        <v>1144</v>
      </c>
      <c r="D768" t="s">
        <v>163</v>
      </c>
    </row>
    <row r="769" spans="1:4">
      <c r="A769" t="s">
        <v>164</v>
      </c>
      <c r="B769" t="s">
        <v>4</v>
      </c>
      <c r="C769" t="s">
        <v>1145</v>
      </c>
      <c r="D769" t="s">
        <v>164</v>
      </c>
    </row>
    <row r="770" spans="1:4">
      <c r="A770" t="s">
        <v>165</v>
      </c>
      <c r="B770" t="s">
        <v>5</v>
      </c>
      <c r="C770" t="s">
        <v>1537</v>
      </c>
      <c r="D770" t="s">
        <v>165</v>
      </c>
    </row>
    <row r="771" spans="1:4">
      <c r="A771" t="s">
        <v>166</v>
      </c>
      <c r="B771" t="s">
        <v>6</v>
      </c>
      <c r="C771" t="s">
        <v>1538</v>
      </c>
      <c r="D771" t="s">
        <v>166</v>
      </c>
    </row>
    <row r="772" spans="1:4">
      <c r="A772" t="s">
        <v>130</v>
      </c>
      <c r="B772" t="s">
        <v>7</v>
      </c>
      <c r="C772" t="s">
        <v>1539</v>
      </c>
      <c r="D772" t="s">
        <v>130</v>
      </c>
    </row>
    <row r="773" spans="1:4">
      <c r="A773" t="s">
        <v>1686</v>
      </c>
      <c r="B773" t="s">
        <v>8</v>
      </c>
      <c r="C773" t="s">
        <v>1019</v>
      </c>
      <c r="D773" t="s">
        <v>1686</v>
      </c>
    </row>
    <row r="774" spans="1:4">
      <c r="A774" t="s">
        <v>1687</v>
      </c>
      <c r="B774" t="s">
        <v>9</v>
      </c>
      <c r="C774" t="s">
        <v>1020</v>
      </c>
      <c r="D774" t="s">
        <v>1687</v>
      </c>
    </row>
    <row r="775" spans="1:4">
      <c r="A775" t="s">
        <v>1688</v>
      </c>
      <c r="B775" t="s">
        <v>10</v>
      </c>
      <c r="C775" t="s">
        <v>1021</v>
      </c>
      <c r="D775" t="s">
        <v>1688</v>
      </c>
    </row>
    <row r="776" spans="1:4">
      <c r="A776" t="s">
        <v>1690</v>
      </c>
      <c r="B776" t="s">
        <v>11</v>
      </c>
      <c r="C776" t="s">
        <v>1022</v>
      </c>
      <c r="D776" t="s">
        <v>1690</v>
      </c>
    </row>
    <row r="777" spans="1:4">
      <c r="A777" t="s">
        <v>2126</v>
      </c>
      <c r="B777" t="s">
        <v>296</v>
      </c>
      <c r="C777" t="s">
        <v>1023</v>
      </c>
      <c r="D777" t="s">
        <v>2126</v>
      </c>
    </row>
    <row r="778" spans="1:4">
      <c r="A778" t="s">
        <v>1163</v>
      </c>
      <c r="B778" t="s">
        <v>1164</v>
      </c>
      <c r="C778" t="s">
        <v>1024</v>
      </c>
      <c r="D778" t="s">
        <v>1163</v>
      </c>
    </row>
    <row r="779" spans="1:4">
      <c r="A779" t="s">
        <v>23</v>
      </c>
      <c r="B779" t="s">
        <v>297</v>
      </c>
      <c r="C779" t="s">
        <v>1025</v>
      </c>
      <c r="D779" t="s">
        <v>23</v>
      </c>
    </row>
    <row r="780" spans="1:4">
      <c r="A780" t="s">
        <v>2127</v>
      </c>
      <c r="B780" t="s">
        <v>298</v>
      </c>
      <c r="C780" t="s">
        <v>1026</v>
      </c>
      <c r="D780" t="s">
        <v>2127</v>
      </c>
    </row>
    <row r="781" spans="1:4">
      <c r="A781" t="s">
        <v>2004</v>
      </c>
      <c r="B781" t="s">
        <v>299</v>
      </c>
      <c r="C781" t="s">
        <v>1027</v>
      </c>
      <c r="D781" t="s">
        <v>2004</v>
      </c>
    </row>
    <row r="782" spans="1:4">
      <c r="A782" t="s">
        <v>2128</v>
      </c>
      <c r="B782" t="s">
        <v>300</v>
      </c>
      <c r="C782" t="s">
        <v>231</v>
      </c>
      <c r="D782" t="s">
        <v>2128</v>
      </c>
    </row>
    <row r="783" spans="1:4">
      <c r="A783" t="s">
        <v>2134</v>
      </c>
      <c r="B783" t="s">
        <v>12</v>
      </c>
      <c r="C783" t="s">
        <v>1028</v>
      </c>
      <c r="D783" t="s">
        <v>2134</v>
      </c>
    </row>
    <row r="784" spans="1:4">
      <c r="A784" t="s">
        <v>2135</v>
      </c>
      <c r="B784" t="s">
        <v>13</v>
      </c>
      <c r="C784" t="s">
        <v>1029</v>
      </c>
      <c r="D784" t="s">
        <v>2135</v>
      </c>
    </row>
    <row r="785" spans="1:4">
      <c r="A785" t="s">
        <v>1689</v>
      </c>
      <c r="B785" t="s">
        <v>14</v>
      </c>
      <c r="C785" t="s">
        <v>1030</v>
      </c>
      <c r="D785" t="s">
        <v>1689</v>
      </c>
    </row>
    <row r="786" spans="1:4">
      <c r="A786" t="s">
        <v>65</v>
      </c>
      <c r="B786" t="s">
        <v>828</v>
      </c>
      <c r="C786" t="s">
        <v>989</v>
      </c>
      <c r="D786" t="s">
        <v>65</v>
      </c>
    </row>
    <row r="787" spans="1:4">
      <c r="A787" t="s">
        <v>2140</v>
      </c>
      <c r="B787" t="s">
        <v>15</v>
      </c>
      <c r="C787" t="s">
        <v>1443</v>
      </c>
      <c r="D787" t="s">
        <v>2140</v>
      </c>
    </row>
    <row r="788" spans="1:4">
      <c r="A788" t="s">
        <v>1568</v>
      </c>
      <c r="B788" t="s">
        <v>16</v>
      </c>
      <c r="C788" t="s">
        <v>497</v>
      </c>
      <c r="D788" t="s">
        <v>1568</v>
      </c>
    </row>
    <row r="789" spans="1:4">
      <c r="A789" t="s">
        <v>1567</v>
      </c>
      <c r="B789" t="s">
        <v>1507</v>
      </c>
      <c r="C789" t="s">
        <v>496</v>
      </c>
      <c r="D789" t="s">
        <v>1567</v>
      </c>
    </row>
    <row r="790" spans="1:4">
      <c r="A790" t="s">
        <v>1570</v>
      </c>
      <c r="B790" t="s">
        <v>1516</v>
      </c>
      <c r="C790" t="s">
        <v>494</v>
      </c>
      <c r="D790" t="s">
        <v>1570</v>
      </c>
    </row>
    <row r="791" spans="1:4">
      <c r="A791" t="s">
        <v>1566</v>
      </c>
      <c r="B791" t="s">
        <v>17</v>
      </c>
      <c r="C791" t="s">
        <v>495</v>
      </c>
      <c r="D791" t="s">
        <v>1566</v>
      </c>
    </row>
    <row r="792" spans="1:4">
      <c r="A792" t="s">
        <v>1557</v>
      </c>
      <c r="B792" t="s">
        <v>18</v>
      </c>
      <c r="C792" t="s">
        <v>849</v>
      </c>
      <c r="D792" t="s">
        <v>1557</v>
      </c>
    </row>
    <row r="793" spans="1:4">
      <c r="A793" t="s">
        <v>2136</v>
      </c>
      <c r="B793" t="s">
        <v>278</v>
      </c>
      <c r="C793" t="s">
        <v>1031</v>
      </c>
      <c r="D793" t="s">
        <v>2136</v>
      </c>
    </row>
    <row r="794" spans="1:4">
      <c r="A794" t="s">
        <v>1572</v>
      </c>
      <c r="B794" t="s">
        <v>809</v>
      </c>
      <c r="C794" t="s">
        <v>1909</v>
      </c>
      <c r="D794" t="s">
        <v>1572</v>
      </c>
    </row>
    <row r="795" spans="1:4">
      <c r="A795" t="s">
        <v>1571</v>
      </c>
      <c r="B795" t="s">
        <v>279</v>
      </c>
      <c r="C795" t="s">
        <v>1032</v>
      </c>
      <c r="D795" t="s">
        <v>1571</v>
      </c>
    </row>
    <row r="796" spans="1:4">
      <c r="A796" t="s">
        <v>2137</v>
      </c>
      <c r="B796" t="s">
        <v>280</v>
      </c>
      <c r="C796" t="s">
        <v>1033</v>
      </c>
      <c r="D796" t="s">
        <v>2137</v>
      </c>
    </row>
    <row r="797" spans="1:4">
      <c r="A797" t="s">
        <v>1958</v>
      </c>
      <c r="B797" t="s">
        <v>281</v>
      </c>
      <c r="C797" t="s">
        <v>1034</v>
      </c>
      <c r="D797" t="s">
        <v>1958</v>
      </c>
    </row>
    <row r="798" spans="1:4">
      <c r="A798" t="s">
        <v>2138</v>
      </c>
      <c r="B798" t="s">
        <v>2246</v>
      </c>
      <c r="C798" t="s">
        <v>1035</v>
      </c>
      <c r="D798" t="s">
        <v>2138</v>
      </c>
    </row>
    <row r="799" spans="1:4">
      <c r="A799" t="s">
        <v>2139</v>
      </c>
      <c r="B799" t="s">
        <v>2247</v>
      </c>
      <c r="C799" t="s">
        <v>1036</v>
      </c>
      <c r="D799" t="s">
        <v>2139</v>
      </c>
    </row>
    <row r="800" spans="1:4">
      <c r="A800" t="s">
        <v>63</v>
      </c>
      <c r="B800" t="s">
        <v>1682</v>
      </c>
      <c r="C800" t="s">
        <v>199</v>
      </c>
      <c r="D800" t="s">
        <v>63</v>
      </c>
    </row>
    <row r="801" spans="1:4">
      <c r="A801" t="s">
        <v>2071</v>
      </c>
      <c r="B801" t="s">
        <v>2254</v>
      </c>
      <c r="C801" t="s">
        <v>1906</v>
      </c>
      <c r="D801" t="s">
        <v>2071</v>
      </c>
    </row>
    <row r="802" spans="1:4">
      <c r="A802" t="s">
        <v>391</v>
      </c>
      <c r="B802" t="s">
        <v>2255</v>
      </c>
      <c r="C802" t="s">
        <v>1037</v>
      </c>
      <c r="D802" t="s">
        <v>391</v>
      </c>
    </row>
    <row r="803" spans="1:4">
      <c r="A803" t="s">
        <v>392</v>
      </c>
      <c r="B803" t="s">
        <v>2258</v>
      </c>
      <c r="C803" t="s">
        <v>1038</v>
      </c>
      <c r="D803" t="s">
        <v>392</v>
      </c>
    </row>
    <row r="804" spans="1:4">
      <c r="A804" t="s">
        <v>2141</v>
      </c>
      <c r="B804" t="s">
        <v>2248</v>
      </c>
      <c r="C804" t="s">
        <v>1039</v>
      </c>
      <c r="D804" t="s">
        <v>2141</v>
      </c>
    </row>
    <row r="805" spans="1:4">
      <c r="A805" t="s">
        <v>2142</v>
      </c>
      <c r="B805" t="s">
        <v>2256</v>
      </c>
      <c r="C805" t="s">
        <v>1040</v>
      </c>
      <c r="D805" t="s">
        <v>2142</v>
      </c>
    </row>
    <row r="806" spans="1:4">
      <c r="A806" t="s">
        <v>394</v>
      </c>
      <c r="B806" t="s">
        <v>2257</v>
      </c>
      <c r="C806" t="s">
        <v>1041</v>
      </c>
      <c r="D806" t="s">
        <v>394</v>
      </c>
    </row>
    <row r="807" spans="1:4">
      <c r="A807" t="s">
        <v>393</v>
      </c>
      <c r="B807" t="s">
        <v>2259</v>
      </c>
      <c r="C807" t="s">
        <v>1042</v>
      </c>
      <c r="D807" t="s">
        <v>393</v>
      </c>
    </row>
    <row r="808" spans="1:4">
      <c r="A808" t="s">
        <v>2070</v>
      </c>
      <c r="B808" t="s">
        <v>2260</v>
      </c>
      <c r="C808" t="s">
        <v>1411</v>
      </c>
      <c r="D808" t="s">
        <v>2070</v>
      </c>
    </row>
    <row r="809" spans="1:4">
      <c r="A809" t="s">
        <v>2069</v>
      </c>
      <c r="B809" t="s">
        <v>2261</v>
      </c>
      <c r="C809" t="s">
        <v>1412</v>
      </c>
      <c r="D809" t="s">
        <v>2069</v>
      </c>
    </row>
    <row r="810" spans="1:4">
      <c r="A810" t="s">
        <v>2143</v>
      </c>
      <c r="B810" t="s">
        <v>1729</v>
      </c>
      <c r="C810" t="s">
        <v>1413</v>
      </c>
      <c r="D810" t="s">
        <v>2143</v>
      </c>
    </row>
    <row r="811" spans="1:4">
      <c r="A811" t="s">
        <v>2065</v>
      </c>
      <c r="B811" t="s">
        <v>2249</v>
      </c>
      <c r="C811" t="s">
        <v>1414</v>
      </c>
      <c r="D811" t="s">
        <v>2065</v>
      </c>
    </row>
    <row r="812" spans="1:4">
      <c r="A812" t="s">
        <v>2066</v>
      </c>
      <c r="B812" t="s">
        <v>2250</v>
      </c>
      <c r="C812" t="s">
        <v>1415</v>
      </c>
      <c r="D812" t="s">
        <v>2066</v>
      </c>
    </row>
    <row r="813" spans="1:4">
      <c r="A813" t="s">
        <v>2067</v>
      </c>
      <c r="B813" t="s">
        <v>2251</v>
      </c>
      <c r="C813" t="s">
        <v>1416</v>
      </c>
      <c r="D813" t="s">
        <v>2067</v>
      </c>
    </row>
    <row r="814" spans="1:4">
      <c r="A814" t="s">
        <v>2068</v>
      </c>
      <c r="B814" t="s">
        <v>2252</v>
      </c>
      <c r="C814" t="s">
        <v>1417</v>
      </c>
      <c r="D814" t="s">
        <v>2068</v>
      </c>
    </row>
    <row r="815" spans="1:4">
      <c r="A815" t="s">
        <v>2154</v>
      </c>
      <c r="B815" t="s">
        <v>2253</v>
      </c>
      <c r="C815" t="s">
        <v>86</v>
      </c>
      <c r="D815" t="s">
        <v>2154</v>
      </c>
    </row>
    <row r="816" spans="1:4">
      <c r="A816" t="s">
        <v>340</v>
      </c>
      <c r="B816" t="s">
        <v>2262</v>
      </c>
      <c r="C816" t="s">
        <v>87</v>
      </c>
      <c r="D816" t="s">
        <v>340</v>
      </c>
    </row>
    <row r="817" spans="1:4">
      <c r="A817" t="s">
        <v>2164</v>
      </c>
      <c r="B817" t="s">
        <v>2263</v>
      </c>
      <c r="C817" t="s">
        <v>88</v>
      </c>
      <c r="D817" t="s">
        <v>2164</v>
      </c>
    </row>
    <row r="818" spans="1:4">
      <c r="A818" t="s">
        <v>2155</v>
      </c>
      <c r="B818" t="s">
        <v>2264</v>
      </c>
      <c r="C818" t="s">
        <v>1270</v>
      </c>
      <c r="D818" t="s">
        <v>2155</v>
      </c>
    </row>
    <row r="819" spans="1:4">
      <c r="A819" t="s">
        <v>2156</v>
      </c>
      <c r="B819" t="s">
        <v>2265</v>
      </c>
      <c r="C819" t="s">
        <v>1271</v>
      </c>
      <c r="D819" t="s">
        <v>2156</v>
      </c>
    </row>
    <row r="820" spans="1:4">
      <c r="A820" t="s">
        <v>2157</v>
      </c>
      <c r="B820" t="s">
        <v>2266</v>
      </c>
      <c r="C820" t="s">
        <v>1272</v>
      </c>
      <c r="D820" t="s">
        <v>2157</v>
      </c>
    </row>
    <row r="821" spans="1:4">
      <c r="A821" t="s">
        <v>2158</v>
      </c>
      <c r="B821" t="s">
        <v>2267</v>
      </c>
      <c r="C821" t="s">
        <v>1273</v>
      </c>
      <c r="D821" t="s">
        <v>2158</v>
      </c>
    </row>
    <row r="822" spans="1:4">
      <c r="A822" t="s">
        <v>2159</v>
      </c>
      <c r="B822" t="s">
        <v>2268</v>
      </c>
      <c r="C822" t="s">
        <v>579</v>
      </c>
      <c r="D822" t="s">
        <v>2159</v>
      </c>
    </row>
    <row r="823" spans="1:4">
      <c r="A823" t="s">
        <v>395</v>
      </c>
      <c r="B823" s="119" t="s">
        <v>1938</v>
      </c>
      <c r="C823" t="s">
        <v>1274</v>
      </c>
      <c r="D823" t="s">
        <v>395</v>
      </c>
    </row>
    <row r="824" spans="1:4">
      <c r="A824" t="s">
        <v>2175</v>
      </c>
      <c r="B824" s="119" t="s">
        <v>1939</v>
      </c>
      <c r="C824" t="s">
        <v>1275</v>
      </c>
      <c r="D824" t="s">
        <v>2175</v>
      </c>
    </row>
    <row r="825" spans="1:4">
      <c r="A825" t="s">
        <v>2160</v>
      </c>
      <c r="B825" t="s">
        <v>1519</v>
      </c>
      <c r="C825" t="s">
        <v>1276</v>
      </c>
      <c r="D825" t="s">
        <v>2160</v>
      </c>
    </row>
    <row r="826" spans="1:4">
      <c r="A826" t="s">
        <v>2161</v>
      </c>
      <c r="B826" t="s">
        <v>1940</v>
      </c>
      <c r="C826" t="s">
        <v>1277</v>
      </c>
      <c r="D826" t="s">
        <v>2161</v>
      </c>
    </row>
    <row r="827" spans="1:4">
      <c r="A827" t="s">
        <v>2162</v>
      </c>
      <c r="B827" t="s">
        <v>1941</v>
      </c>
      <c r="C827" t="s">
        <v>1278</v>
      </c>
      <c r="D827" t="s">
        <v>2162</v>
      </c>
    </row>
    <row r="828" spans="1:4">
      <c r="A828" t="s">
        <v>395</v>
      </c>
      <c r="B828" s="119" t="s">
        <v>1938</v>
      </c>
      <c r="C828" t="s">
        <v>1279</v>
      </c>
      <c r="D828" t="s">
        <v>395</v>
      </c>
    </row>
    <row r="829" spans="1:4">
      <c r="A829" t="s">
        <v>2175</v>
      </c>
      <c r="B829" s="119" t="s">
        <v>1939</v>
      </c>
      <c r="C829" t="s">
        <v>1275</v>
      </c>
      <c r="D829" t="s">
        <v>2175</v>
      </c>
    </row>
    <row r="830" spans="1:4">
      <c r="A830" t="s">
        <v>2160</v>
      </c>
      <c r="B830" t="s">
        <v>1519</v>
      </c>
      <c r="C830" t="s">
        <v>1280</v>
      </c>
      <c r="D830" t="s">
        <v>2160</v>
      </c>
    </row>
    <row r="831" spans="1:4">
      <c r="A831" t="s">
        <v>2161</v>
      </c>
      <c r="B831" t="s">
        <v>1940</v>
      </c>
      <c r="C831" t="s">
        <v>1277</v>
      </c>
      <c r="D831" t="s">
        <v>2161</v>
      </c>
    </row>
    <row r="832" spans="1:4">
      <c r="A832" t="s">
        <v>2163</v>
      </c>
      <c r="B832" t="s">
        <v>1942</v>
      </c>
      <c r="C832" t="s">
        <v>1281</v>
      </c>
      <c r="D832" t="s">
        <v>2163</v>
      </c>
    </row>
    <row r="833" spans="1:4">
      <c r="A833" t="s">
        <v>2165</v>
      </c>
      <c r="B833" t="s">
        <v>1943</v>
      </c>
      <c r="C833" t="s">
        <v>1282</v>
      </c>
      <c r="D833" t="s">
        <v>2165</v>
      </c>
    </row>
    <row r="834" spans="1:4">
      <c r="A834" t="s">
        <v>2166</v>
      </c>
      <c r="B834" t="s">
        <v>1944</v>
      </c>
      <c r="C834" t="s">
        <v>1283</v>
      </c>
      <c r="D834" t="s">
        <v>2166</v>
      </c>
    </row>
    <row r="835" spans="1:4">
      <c r="A835" t="s">
        <v>1494</v>
      </c>
      <c r="B835" t="s">
        <v>1945</v>
      </c>
      <c r="C835" t="s">
        <v>1284</v>
      </c>
      <c r="D835" t="s">
        <v>1494</v>
      </c>
    </row>
    <row r="836" spans="1:4">
      <c r="A836" t="s">
        <v>2133</v>
      </c>
      <c r="B836" t="s">
        <v>1946</v>
      </c>
      <c r="C836" t="s">
        <v>1285</v>
      </c>
      <c r="D836" t="s">
        <v>2133</v>
      </c>
    </row>
    <row r="837" spans="1:4">
      <c r="A837" t="s">
        <v>673</v>
      </c>
      <c r="B837" t="s">
        <v>674</v>
      </c>
      <c r="C837" t="s">
        <v>1286</v>
      </c>
      <c r="D837" t="s">
        <v>673</v>
      </c>
    </row>
    <row r="838" spans="1:4">
      <c r="A838" s="2" t="s">
        <v>675</v>
      </c>
      <c r="B838" t="s">
        <v>415</v>
      </c>
      <c r="C838" t="s">
        <v>1287</v>
      </c>
      <c r="D838" s="2" t="s">
        <v>675</v>
      </c>
    </row>
    <row r="839" spans="1:4">
      <c r="A839" s="2" t="s">
        <v>412</v>
      </c>
      <c r="B839" t="s">
        <v>416</v>
      </c>
      <c r="C839" t="s">
        <v>1288</v>
      </c>
      <c r="D839" s="2" t="s">
        <v>412</v>
      </c>
    </row>
    <row r="840" spans="1:4">
      <c r="A840" s="2" t="s">
        <v>676</v>
      </c>
      <c r="B840" t="s">
        <v>417</v>
      </c>
      <c r="C840" t="s">
        <v>1289</v>
      </c>
      <c r="D840" s="2" t="s">
        <v>676</v>
      </c>
    </row>
    <row r="841" spans="1:4">
      <c r="A841" s="2" t="s">
        <v>2312</v>
      </c>
      <c r="B841" t="s">
        <v>418</v>
      </c>
      <c r="C841" t="s">
        <v>193</v>
      </c>
      <c r="D841" s="2" t="s">
        <v>2312</v>
      </c>
    </row>
    <row r="842" spans="1:4">
      <c r="A842" s="47" t="s">
        <v>419</v>
      </c>
      <c r="B842" t="s">
        <v>420</v>
      </c>
      <c r="C842" t="s">
        <v>1290</v>
      </c>
      <c r="D842" s="47" t="s">
        <v>419</v>
      </c>
    </row>
    <row r="843" spans="1:4">
      <c r="A843" s="47" t="s">
        <v>42</v>
      </c>
      <c r="B843" t="s">
        <v>43</v>
      </c>
      <c r="C843" t="s">
        <v>1291</v>
      </c>
      <c r="D843" s="47" t="s">
        <v>42</v>
      </c>
    </row>
    <row r="844" spans="1:4">
      <c r="A844" t="s">
        <v>1217</v>
      </c>
      <c r="B844" t="s">
        <v>862</v>
      </c>
      <c r="C844" t="s">
        <v>1292</v>
      </c>
      <c r="D844" t="s">
        <v>1217</v>
      </c>
    </row>
    <row r="845" spans="1:4">
      <c r="A845" t="s">
        <v>866</v>
      </c>
      <c r="B845" t="s">
        <v>867</v>
      </c>
      <c r="C845" t="s">
        <v>1293</v>
      </c>
      <c r="D845" t="s">
        <v>866</v>
      </c>
    </row>
    <row r="846" spans="1:4">
      <c r="A846" s="47" t="s">
        <v>863</v>
      </c>
      <c r="B846" t="s">
        <v>868</v>
      </c>
      <c r="C846" t="s">
        <v>1294</v>
      </c>
      <c r="D846" s="47" t="s">
        <v>863</v>
      </c>
    </row>
    <row r="847" spans="1:4">
      <c r="A847" t="s">
        <v>869</v>
      </c>
      <c r="B847" t="s">
        <v>1385</v>
      </c>
      <c r="C847" t="s">
        <v>1028</v>
      </c>
      <c r="D847" t="s">
        <v>869</v>
      </c>
    </row>
    <row r="848" spans="1:4">
      <c r="A848" t="s">
        <v>1214</v>
      </c>
      <c r="B848" t="s">
        <v>1386</v>
      </c>
      <c r="C848" t="s">
        <v>1295</v>
      </c>
      <c r="D848" t="s">
        <v>1214</v>
      </c>
    </row>
    <row r="849" spans="1:4">
      <c r="A849" t="s">
        <v>1798</v>
      </c>
      <c r="B849" t="s">
        <v>1800</v>
      </c>
      <c r="C849" t="s">
        <v>1296</v>
      </c>
      <c r="D849" t="s">
        <v>1798</v>
      </c>
    </row>
    <row r="850" spans="1:4">
      <c r="A850" t="s">
        <v>1799</v>
      </c>
      <c r="B850" t="s">
        <v>1232</v>
      </c>
      <c r="C850" t="s">
        <v>1297</v>
      </c>
      <c r="D850" t="s">
        <v>1799</v>
      </c>
    </row>
    <row r="851" spans="1:4">
      <c r="A851" t="s">
        <v>1801</v>
      </c>
      <c r="B851" t="s">
        <v>1802</v>
      </c>
      <c r="C851" t="s">
        <v>1298</v>
      </c>
      <c r="D851" t="s">
        <v>1801</v>
      </c>
    </row>
    <row r="852" spans="1:4">
      <c r="A852" t="s">
        <v>803</v>
      </c>
      <c r="B852" t="s">
        <v>211</v>
      </c>
      <c r="C852" t="s">
        <v>1299</v>
      </c>
      <c r="D852" t="s">
        <v>803</v>
      </c>
    </row>
    <row r="853" spans="1:4">
      <c r="A853" t="s">
        <v>804</v>
      </c>
      <c r="B853" t="s">
        <v>212</v>
      </c>
      <c r="C853" t="s">
        <v>1300</v>
      </c>
      <c r="D853" t="s">
        <v>804</v>
      </c>
    </row>
    <row r="854" spans="1:4">
      <c r="A854" t="s">
        <v>40</v>
      </c>
      <c r="B854" t="s">
        <v>213</v>
      </c>
      <c r="C854" t="s">
        <v>118</v>
      </c>
      <c r="D854" t="s">
        <v>40</v>
      </c>
    </row>
    <row r="855" spans="1:4">
      <c r="A855" t="s">
        <v>41</v>
      </c>
      <c r="B855" t="s">
        <v>214</v>
      </c>
      <c r="C855" t="s">
        <v>119</v>
      </c>
      <c r="D855" t="s">
        <v>41</v>
      </c>
    </row>
    <row r="856" spans="1:4">
      <c r="A856" s="240" t="s">
        <v>941</v>
      </c>
      <c r="B856" s="240" t="s">
        <v>942</v>
      </c>
      <c r="C856" t="s">
        <v>120</v>
      </c>
      <c r="D856" s="240" t="s">
        <v>941</v>
      </c>
    </row>
    <row r="857" spans="1:4">
      <c r="A857" t="s">
        <v>798</v>
      </c>
      <c r="B857" t="s">
        <v>76</v>
      </c>
      <c r="C857" t="s">
        <v>121</v>
      </c>
      <c r="D857" t="s">
        <v>798</v>
      </c>
    </row>
    <row r="858" spans="1:4">
      <c r="A858" s="47" t="s">
        <v>1265</v>
      </c>
      <c r="B858" t="s">
        <v>77</v>
      </c>
      <c r="C858" t="s">
        <v>122</v>
      </c>
      <c r="D858" s="47" t="s">
        <v>1265</v>
      </c>
    </row>
    <row r="859" spans="1:4">
      <c r="A859" s="47" t="s">
        <v>1651</v>
      </c>
      <c r="B859" t="s">
        <v>2025</v>
      </c>
      <c r="C859" t="s">
        <v>123</v>
      </c>
      <c r="D859" s="47" t="s">
        <v>1651</v>
      </c>
    </row>
    <row r="860" spans="1:4">
      <c r="A860" s="47" t="s">
        <v>1266</v>
      </c>
      <c r="B860" t="s">
        <v>78</v>
      </c>
      <c r="C860" t="s">
        <v>124</v>
      </c>
      <c r="D860" s="47" t="s">
        <v>1266</v>
      </c>
    </row>
    <row r="861" spans="1:4">
      <c r="A861" s="47" t="s">
        <v>1652</v>
      </c>
      <c r="B861" t="s">
        <v>2026</v>
      </c>
      <c r="C861" t="s">
        <v>125</v>
      </c>
      <c r="D861" s="47" t="s">
        <v>1652</v>
      </c>
    </row>
    <row r="862" spans="1:4">
      <c r="A862" s="47" t="s">
        <v>1268</v>
      </c>
      <c r="B862" t="s">
        <v>79</v>
      </c>
      <c r="C862" t="s">
        <v>126</v>
      </c>
      <c r="D862" s="47" t="s">
        <v>1268</v>
      </c>
    </row>
    <row r="863" spans="1:4">
      <c r="A863" s="47" t="s">
        <v>1654</v>
      </c>
      <c r="B863" t="s">
        <v>2027</v>
      </c>
      <c r="C863" t="s">
        <v>127</v>
      </c>
      <c r="D863" s="47" t="s">
        <v>1654</v>
      </c>
    </row>
    <row r="864" spans="1:4">
      <c r="A864" s="47" t="s">
        <v>1267</v>
      </c>
      <c r="B864" t="s">
        <v>2024</v>
      </c>
      <c r="C864" t="s">
        <v>128</v>
      </c>
      <c r="D864" s="47" t="s">
        <v>1267</v>
      </c>
    </row>
    <row r="865" spans="1:4">
      <c r="A865" s="47" t="s">
        <v>1653</v>
      </c>
      <c r="B865" t="s">
        <v>2028</v>
      </c>
      <c r="C865" t="s">
        <v>129</v>
      </c>
      <c r="D865" s="47" t="s">
        <v>1653</v>
      </c>
    </row>
    <row r="866" spans="1:4">
      <c r="A866" s="47" t="s">
        <v>107</v>
      </c>
      <c r="B866" s="47" t="s">
        <v>108</v>
      </c>
      <c r="C866" s="47" t="s">
        <v>108</v>
      </c>
      <c r="D866" s="47" t="s">
        <v>107</v>
      </c>
    </row>
    <row r="867" spans="1:4">
      <c r="A867" t="s">
        <v>2008</v>
      </c>
      <c r="B867" t="s">
        <v>2012</v>
      </c>
      <c r="C867" t="s">
        <v>2012</v>
      </c>
      <c r="D867" t="s">
        <v>2008</v>
      </c>
    </row>
    <row r="868" spans="1:4">
      <c r="A868" t="s">
        <v>2009</v>
      </c>
      <c r="B868" t="s">
        <v>2013</v>
      </c>
      <c r="C868" t="s">
        <v>2013</v>
      </c>
      <c r="D868" t="s">
        <v>2009</v>
      </c>
    </row>
    <row r="869" spans="1:4">
      <c r="A869" t="s">
        <v>2010</v>
      </c>
      <c r="B869" t="s">
        <v>2014</v>
      </c>
      <c r="C869" t="s">
        <v>2014</v>
      </c>
      <c r="D869" t="s">
        <v>2010</v>
      </c>
    </row>
    <row r="870" spans="1:4">
      <c r="A870" t="s">
        <v>2302</v>
      </c>
      <c r="B870" t="s">
        <v>2307</v>
      </c>
      <c r="C870" t="s">
        <v>2307</v>
      </c>
      <c r="D870" t="s">
        <v>2302</v>
      </c>
    </row>
    <row r="871" spans="1:4">
      <c r="A871" s="2" t="s">
        <v>1999</v>
      </c>
      <c r="B871" s="2" t="s">
        <v>1338</v>
      </c>
      <c r="C871" s="2" t="s">
        <v>1338</v>
      </c>
      <c r="D871" s="2" t="s">
        <v>1999</v>
      </c>
    </row>
    <row r="872" spans="1:4">
      <c r="A872" s="2" t="s">
        <v>1269</v>
      </c>
      <c r="B872" s="2" t="s">
        <v>1339</v>
      </c>
      <c r="C872" s="2" t="s">
        <v>1339</v>
      </c>
      <c r="D872" s="2" t="s">
        <v>1269</v>
      </c>
    </row>
    <row r="873" spans="1:4">
      <c r="A873" s="2" t="s">
        <v>1648</v>
      </c>
      <c r="B873" s="2" t="s">
        <v>1340</v>
      </c>
      <c r="C873" s="2" t="s">
        <v>1340</v>
      </c>
      <c r="D873" s="2" t="s">
        <v>1648</v>
      </c>
    </row>
    <row r="874" spans="1:4">
      <c r="A874" s="2" t="s">
        <v>1649</v>
      </c>
      <c r="B874" s="2" t="s">
        <v>1341</v>
      </c>
      <c r="C874" s="2" t="s">
        <v>1341</v>
      </c>
      <c r="D874" s="2" t="s">
        <v>1649</v>
      </c>
    </row>
    <row r="875" spans="1:4">
      <c r="A875" s="2" t="s">
        <v>1650</v>
      </c>
      <c r="B875" s="2" t="s">
        <v>1342</v>
      </c>
      <c r="C875" s="2" t="s">
        <v>1342</v>
      </c>
      <c r="D875" s="2" t="s">
        <v>1650</v>
      </c>
    </row>
    <row r="876" spans="1:4">
      <c r="A876" s="2" t="s">
        <v>2000</v>
      </c>
      <c r="B876" s="2" t="s">
        <v>1343</v>
      </c>
      <c r="C876" s="2" t="s">
        <v>1343</v>
      </c>
      <c r="D876" s="2" t="s">
        <v>2000</v>
      </c>
    </row>
    <row r="877" spans="1:4">
      <c r="A877" s="2" t="s">
        <v>1430</v>
      </c>
      <c r="B877" s="2" t="s">
        <v>1733</v>
      </c>
      <c r="C877" s="2" t="s">
        <v>1733</v>
      </c>
      <c r="D877" s="2" t="s">
        <v>1430</v>
      </c>
    </row>
    <row r="878" spans="1:4">
      <c r="A878" t="s">
        <v>1731</v>
      </c>
      <c r="B878" t="s">
        <v>1732</v>
      </c>
      <c r="C878" t="s">
        <v>1732</v>
      </c>
      <c r="D878" t="s">
        <v>1731</v>
      </c>
    </row>
    <row r="879" spans="1:4">
      <c r="A879" t="s">
        <v>1911</v>
      </c>
      <c r="B879" t="s">
        <v>700</v>
      </c>
      <c r="C879" t="s">
        <v>700</v>
      </c>
      <c r="D879" t="s">
        <v>1911</v>
      </c>
    </row>
    <row r="880" spans="1:4">
      <c r="A880" t="s">
        <v>167</v>
      </c>
      <c r="B880" t="s">
        <v>168</v>
      </c>
      <c r="C880" t="s">
        <v>168</v>
      </c>
      <c r="D880" t="s">
        <v>167</v>
      </c>
    </row>
    <row r="881" spans="1:4">
      <c r="A881" t="s">
        <v>2072</v>
      </c>
      <c r="B881" t="s">
        <v>2073</v>
      </c>
      <c r="C881" t="s">
        <v>2073</v>
      </c>
      <c r="D881" t="s">
        <v>2072</v>
      </c>
    </row>
    <row r="882" spans="1:4">
      <c r="A882" t="s">
        <v>1574</v>
      </c>
      <c r="B882" t="s">
        <v>1575</v>
      </c>
      <c r="C882" t="s">
        <v>523</v>
      </c>
      <c r="D882" t="s">
        <v>1574</v>
      </c>
    </row>
    <row r="883" spans="1:4">
      <c r="A883" t="s">
        <v>1480</v>
      </c>
      <c r="B883" s="119" t="s">
        <v>1481</v>
      </c>
      <c r="C883" t="s">
        <v>484</v>
      </c>
      <c r="D883" t="s">
        <v>1480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69" baseType="lpstr">
      <vt:lpstr>Компания</vt:lpstr>
      <vt:lpstr>Проект</vt:lpstr>
      <vt:lpstr>Сумм</vt:lpstr>
      <vt:lpstr>Анализ</vt:lpstr>
      <vt:lpstr>Отчет</vt:lpstr>
      <vt:lpstr>Язык</vt:lpstr>
      <vt:lpstr>AI_Version</vt:lpstr>
      <vt:lpstr>asset_count_1</vt:lpstr>
      <vt:lpstr>asset_count_2</vt:lpstr>
      <vt:lpstr>asset_count_3</vt:lpstr>
      <vt:lpstr>Проект!BusinessValue</vt:lpstr>
      <vt:lpstr>Сумм!BusinessValue</vt:lpstr>
      <vt:lpstr>CalcMethod</vt:lpstr>
      <vt:lpstr>Cash_At_End</vt:lpstr>
      <vt:lpstr>Проект!Chart_1</vt:lpstr>
      <vt:lpstr>Сумм!Chart_1</vt:lpstr>
      <vt:lpstr>Проект!Chart_2</vt:lpstr>
      <vt:lpstr>Сумм!Chart_2</vt:lpstr>
      <vt:lpstr>Проект!Chart_3</vt:lpstr>
      <vt:lpstr>Сумм!Chart_3</vt:lpstr>
      <vt:lpstr>Проект!Chart_4</vt:lpstr>
      <vt:lpstr>Сумм!Chart_4</vt:lpstr>
      <vt:lpstr>Проект!Chart_5</vt:lpstr>
      <vt:lpstr>Сумм!Chart_5</vt:lpstr>
      <vt:lpstr>Проект!Chart_6</vt:lpstr>
      <vt:lpstr>Сумм!Chart_6</vt:lpstr>
      <vt:lpstr>Проект!Chart_7</vt:lpstr>
      <vt:lpstr>Сумм!Chart_7</vt:lpstr>
      <vt:lpstr>Проект!Chart_8</vt:lpstr>
      <vt:lpstr>Сумм!Chart_8</vt:lpstr>
      <vt:lpstr>Проект!Chart_9</vt:lpstr>
      <vt:lpstr>Сумм!Chart_9</vt:lpstr>
      <vt:lpstr>COMP_LAST_COLUMN</vt:lpstr>
      <vt:lpstr>CUR_Foreign</vt:lpstr>
      <vt:lpstr>CUR_I_Foreign</vt:lpstr>
      <vt:lpstr>CUR_I_Main</vt:lpstr>
      <vt:lpstr>CUR_I_Report</vt:lpstr>
      <vt:lpstr>CUR_Main</vt:lpstr>
      <vt:lpstr>CUR_Report</vt:lpstr>
      <vt:lpstr>CurrencyRate</vt:lpstr>
      <vt:lpstr>EST_BALANCE</vt:lpstr>
      <vt:lpstr>gexp_count_1</vt:lpstr>
      <vt:lpstr>gexp_count_2</vt:lpstr>
      <vt:lpstr>gexp_count_3</vt:lpstr>
      <vt:lpstr>gexp_count_4</vt:lpstr>
      <vt:lpstr>Проект!IRR</vt:lpstr>
      <vt:lpstr>Сумм!IRR</vt:lpstr>
      <vt:lpstr>IS_DEMO</vt:lpstr>
      <vt:lpstr>IS_ESTATE</vt:lpstr>
      <vt:lpstr>IS_NULL</vt:lpstr>
      <vt:lpstr>IS_PRIM</vt:lpstr>
      <vt:lpstr>IS_SUMM</vt:lpstr>
      <vt:lpstr>LANGUAGE</vt:lpstr>
      <vt:lpstr>LAST_COLUMN</vt:lpstr>
      <vt:lpstr>lease_count</vt:lpstr>
      <vt:lpstr>ListForSensAnal</vt:lpstr>
      <vt:lpstr>loan_count</vt:lpstr>
      <vt:lpstr>Проект!MinMoney</vt:lpstr>
      <vt:lpstr>Проект!NPV</vt:lpstr>
      <vt:lpstr>Сумм!NPV</vt:lpstr>
      <vt:lpstr>Проект!NPVR</vt:lpstr>
      <vt:lpstr>Сумм!NPVR</vt:lpstr>
      <vt:lpstr>NWC_T_Cr_AdvK</vt:lpstr>
      <vt:lpstr>NWC_T_Cr_AdvT</vt:lpstr>
      <vt:lpstr>NWC_T_Cr_CrdK</vt:lpstr>
      <vt:lpstr>NWC_T_Cr_CrdT</vt:lpstr>
      <vt:lpstr>NWC_T_Cycle</vt:lpstr>
      <vt:lpstr>NWC_T_Db_AdvK</vt:lpstr>
      <vt:lpstr>NWC_T_Db_AdvT</vt:lpstr>
      <vt:lpstr>NWC_T_Db_CrdK</vt:lpstr>
      <vt:lpstr>NWC_T_Db_CrdT</vt:lpstr>
      <vt:lpstr>NWC_T_Goods</vt:lpstr>
      <vt:lpstr>NWC_T_Mat</vt:lpstr>
      <vt:lpstr>Проект!PBP</vt:lpstr>
      <vt:lpstr>Сумм!PBP</vt:lpstr>
      <vt:lpstr>PeriodTitle</vt:lpstr>
      <vt:lpstr>pers_count_1</vt:lpstr>
      <vt:lpstr>pers_count_2</vt:lpstr>
      <vt:lpstr>pers_count_3</vt:lpstr>
      <vt:lpstr>pers_count_4</vt:lpstr>
      <vt:lpstr>PRJ_COUNT</vt:lpstr>
      <vt:lpstr>PRJ_Len</vt:lpstr>
      <vt:lpstr>Проект!PRJ_Name</vt:lpstr>
      <vt:lpstr>PRJ_Protected</vt:lpstr>
      <vt:lpstr>PRJ_StartDate</vt:lpstr>
      <vt:lpstr>PRJ_StartMon</vt:lpstr>
      <vt:lpstr>PRJ_StartYear</vt:lpstr>
      <vt:lpstr>PRJ_Step</vt:lpstr>
      <vt:lpstr>PRJ_Step_SName</vt:lpstr>
      <vt:lpstr>PRJ_StepType</vt:lpstr>
      <vt:lpstr>prod_tbl_1</vt:lpstr>
      <vt:lpstr>prod_tbl_2</vt:lpstr>
      <vt:lpstr>prod_tbl_3</vt:lpstr>
      <vt:lpstr>prod_tbl_4</vt:lpstr>
      <vt:lpstr>prod_tbl_5</vt:lpstr>
      <vt:lpstr>prod_tbl_6</vt:lpstr>
      <vt:lpstr>prod_tbl_7</vt:lpstr>
      <vt:lpstr>ProdNum</vt:lpstr>
      <vt:lpstr>ProfitTax</vt:lpstr>
      <vt:lpstr>ProfitTax_Period</vt:lpstr>
      <vt:lpstr>RegNum</vt:lpstr>
      <vt:lpstr>Проект!SENS_Assets</vt:lpstr>
      <vt:lpstr>Проект!SENS_Discount</vt:lpstr>
      <vt:lpstr>Проект!SENS_GenExp</vt:lpstr>
      <vt:lpstr>Проект!SENS_Materials</vt:lpstr>
      <vt:lpstr>SENS_Parameter</vt:lpstr>
      <vt:lpstr>Проект!SENS_Prices</vt:lpstr>
      <vt:lpstr>SENS_Project</vt:lpstr>
      <vt:lpstr>SENS_Res1</vt:lpstr>
      <vt:lpstr>SENS_Res2</vt:lpstr>
      <vt:lpstr>Проект!SENS_Volume</vt:lpstr>
      <vt:lpstr>SensForSumm</vt:lpstr>
      <vt:lpstr>ShowAbout</vt:lpstr>
      <vt:lpstr>ShowRealDates</vt:lpstr>
      <vt:lpstr>SUMM_LAST_COLUMN</vt:lpstr>
      <vt:lpstr>SUMM_PrjList</vt:lpstr>
      <vt:lpstr>Компания!Table_1</vt:lpstr>
      <vt:lpstr>Проект!Table_1</vt:lpstr>
      <vt:lpstr>Сумм!Table_1</vt:lpstr>
      <vt:lpstr>Проект!Table_10</vt:lpstr>
      <vt:lpstr>Проект!Table_11</vt:lpstr>
      <vt:lpstr>Проект!Table_12</vt:lpstr>
      <vt:lpstr>Проект!Table_13</vt:lpstr>
      <vt:lpstr>Проект!Table_14</vt:lpstr>
      <vt:lpstr>Проект!Table_15</vt:lpstr>
      <vt:lpstr>Проект!Table_16</vt:lpstr>
      <vt:lpstr>Проект!Table_17</vt:lpstr>
      <vt:lpstr>Проект!Table_18</vt:lpstr>
      <vt:lpstr>Проект!Table_19</vt:lpstr>
      <vt:lpstr>Компания!Table_2</vt:lpstr>
      <vt:lpstr>Проект!Table_2</vt:lpstr>
      <vt:lpstr>Сумм!Table_2</vt:lpstr>
      <vt:lpstr>Проект!Table_20</vt:lpstr>
      <vt:lpstr>Проект!Table_21</vt:lpstr>
      <vt:lpstr>Проект!Table_22</vt:lpstr>
      <vt:lpstr>Проект!Table_23</vt:lpstr>
      <vt:lpstr>Проект!Table_24</vt:lpstr>
      <vt:lpstr>Проект!Table_25</vt:lpstr>
      <vt:lpstr>Проект!Table_26</vt:lpstr>
      <vt:lpstr>Компания!Table_3</vt:lpstr>
      <vt:lpstr>Проект!Table_3</vt:lpstr>
      <vt:lpstr>Сумм!Table_3</vt:lpstr>
      <vt:lpstr>Компания!Table_4</vt:lpstr>
      <vt:lpstr>Проект!Table_4</vt:lpstr>
      <vt:lpstr>Сумм!Table_4</vt:lpstr>
      <vt:lpstr>Компания!Table_5</vt:lpstr>
      <vt:lpstr>Проект!Table_5</vt:lpstr>
      <vt:lpstr>Сумм!Table_5</vt:lpstr>
      <vt:lpstr>Компания!Table_6</vt:lpstr>
      <vt:lpstr>Проект!Table_6</vt:lpstr>
      <vt:lpstr>Сумм!Table_6</vt:lpstr>
      <vt:lpstr>Компания!Table_7</vt:lpstr>
      <vt:lpstr>Проект!Table_7</vt:lpstr>
      <vt:lpstr>Сумм!Table_7</vt:lpstr>
      <vt:lpstr>Компания!Table_8</vt:lpstr>
      <vt:lpstr>Проект!Table_8</vt:lpstr>
      <vt:lpstr>Сумм!Table_8</vt:lpstr>
      <vt:lpstr>Компания!Table_9</vt:lpstr>
      <vt:lpstr>Проект!Table_9</vt:lpstr>
      <vt:lpstr>Проект!TotalInvestments</vt:lpstr>
      <vt:lpstr>Проект!TotalProfit</vt:lpstr>
      <vt:lpstr>Сумм!TotalProfit</vt:lpstr>
      <vt:lpstr>UserName</vt:lpstr>
      <vt:lpstr>VAT</vt:lpstr>
      <vt:lpstr>VAT_OnAssets</vt:lpstr>
      <vt:lpstr>VAT_Period</vt:lpstr>
      <vt:lpstr>VAT_Repay</vt:lpstr>
      <vt:lpstr>Ver_BuildDate</vt:lpstr>
      <vt:lpstr>Ver_ChangeDate</vt:lpstr>
    </vt:vector>
  </TitlesOfParts>
  <Company>ООО "Альт-Инвест"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Альт-Инвест</dc:title>
  <dc:creator>Дмитрий Рябых</dc:creator>
  <cp:lastModifiedBy>Admin</cp:lastModifiedBy>
  <cp:lastPrinted>2010-11-24T16:57:44Z</cp:lastPrinted>
  <dcterms:created xsi:type="dcterms:W3CDTF">2004-07-22T05:50:45Z</dcterms:created>
  <dcterms:modified xsi:type="dcterms:W3CDTF">2012-12-06T11:44:55Z</dcterms:modified>
</cp:coreProperties>
</file>